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Z:\VRELO RAB + LOPARKO\FK+VO+OB DVD-BRNI (Bravarići, Banjol)\02 GLAVNI PROJEKT\TROŠKOVNIK\"/>
    </mc:Choice>
  </mc:AlternateContent>
  <xr:revisionPtr revIDLastSave="0" documentId="13_ncr:1_{B8F1DBF3-5AF6-4E6B-A60C-CECE897F1C61}" xr6:coauthVersionLast="47" xr6:coauthVersionMax="47" xr10:uidLastSave="{00000000-0000-0000-0000-000000000000}"/>
  <bookViews>
    <workbookView xWindow="-120" yWindow="-120" windowWidth="29040" windowHeight="17520" firstSheet="2" activeTab="6" xr2:uid="{00000000-000D-0000-FFFF-FFFF00000000}"/>
  </bookViews>
  <sheets>
    <sheet name="00-Naslov" sheetId="3" r:id="rId1"/>
    <sheet name="I) ZAJEDNIČKI RADOVI" sheetId="5" r:id="rId2"/>
    <sheet name="II) VODOVOD" sheetId="2" r:id="rId3"/>
    <sheet name="III) FEKALNA KANALIZACIJA" sheetId="6" r:id="rId4"/>
    <sheet name="IV) OBORINSKA KANALIZACIJA" sheetId="7" r:id="rId5"/>
    <sheet name="V) NERAZVRSTANA CESTA" sheetId="10" r:id="rId6"/>
    <sheet name="Rekapitulacija" sheetId="4" r:id="rId7"/>
  </sheets>
  <externalReferences>
    <externalReference r:id="rId8"/>
    <externalReference r:id="rId9"/>
    <externalReference r:id="rId10"/>
  </externalReferences>
  <definedNames>
    <definedName name="HIDRA" localSheetId="0">[1]FAKTORI!$B$4</definedName>
    <definedName name="HIDRA">[2]FAKTORI!$B$4</definedName>
    <definedName name="POPUST" localSheetId="1">#REF!</definedName>
    <definedName name="POPUST" localSheetId="3">#REF!</definedName>
    <definedName name="POPUST" localSheetId="4">#REF!</definedName>
    <definedName name="POPUST" localSheetId="5">#REF!</definedName>
    <definedName name="POPUST">#REF!</definedName>
    <definedName name="POPUST_2">[3]FAKTORI!$B$3</definedName>
    <definedName name="_xlnm.Print_Area" localSheetId="0">'00-Naslov'!$A$1:$C$36</definedName>
    <definedName name="_xlnm.Print_Area" localSheetId="1">'I) ZAJEDNIČKI RADOVI'!$A$1:$G$158</definedName>
    <definedName name="_xlnm.Print_Area" localSheetId="2">'II) VODOVOD'!$A$1:$G$472</definedName>
    <definedName name="_xlnm.Print_Area" localSheetId="3">'III) FEKALNA KANALIZACIJA'!$A$1:$G$273</definedName>
    <definedName name="_xlnm.Print_Area" localSheetId="4">'IV) OBORINSKA KANALIZACIJA'!$A$1:$G$237</definedName>
    <definedName name="_xlnm.Print_Area" localSheetId="6">Rekapitulacija!$A$1:$G$27</definedName>
    <definedName name="_xlnm.Print_Area" localSheetId="5">'V) NERAZVRSTANA CESTA'!$A$1:$G$69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0" i="2" l="1"/>
  <c r="C329" i="2"/>
  <c r="G303" i="2"/>
  <c r="C302" i="2"/>
  <c r="G272" i="2" l="1"/>
  <c r="C271" i="2"/>
  <c r="C253" i="2" l="1"/>
  <c r="G253" i="2" s="1"/>
  <c r="C252" i="2" l="1"/>
  <c r="C62" i="10"/>
  <c r="C61" i="10"/>
  <c r="C35" i="10"/>
  <c r="C34" i="10"/>
  <c r="G36" i="10"/>
  <c r="G41" i="10" s="1"/>
  <c r="G62" i="10" s="1"/>
  <c r="G188" i="7" l="1"/>
  <c r="C187" i="7"/>
  <c r="G182" i="7"/>
  <c r="C181" i="7"/>
  <c r="C381" i="2"/>
  <c r="C375" i="2"/>
  <c r="G157" i="7"/>
  <c r="C156" i="7"/>
  <c r="G150" i="7"/>
  <c r="C149" i="7"/>
  <c r="G140" i="7"/>
  <c r="C139" i="7"/>
  <c r="G97" i="7"/>
  <c r="G94" i="7"/>
  <c r="G91" i="7"/>
  <c r="G86" i="7"/>
  <c r="G81" i="7"/>
  <c r="G78" i="7"/>
  <c r="G73" i="7" l="1"/>
  <c r="C62" i="7"/>
  <c r="C60" i="7"/>
  <c r="C56" i="7"/>
  <c r="C54" i="7"/>
  <c r="C53" i="7"/>
  <c r="C46" i="7"/>
  <c r="C45" i="7"/>
  <c r="C44" i="7"/>
  <c r="C52" i="7"/>
  <c r="C48" i="7"/>
  <c r="C38" i="7"/>
  <c r="C40" i="7"/>
  <c r="C37" i="7"/>
  <c r="C33" i="7"/>
  <c r="C31" i="7"/>
  <c r="C30" i="7"/>
  <c r="C26" i="7"/>
  <c r="C24" i="7"/>
  <c r="C23" i="7"/>
  <c r="C22" i="7"/>
  <c r="C170" i="7"/>
  <c r="G170" i="7" s="1"/>
  <c r="C200" i="6"/>
  <c r="C198" i="6"/>
  <c r="C175" i="6"/>
  <c r="C173" i="6"/>
  <c r="C170" i="6"/>
  <c r="C168" i="6"/>
  <c r="C165" i="6"/>
  <c r="C163" i="6"/>
  <c r="C72" i="6"/>
  <c r="C70" i="6"/>
  <c r="C66" i="6"/>
  <c r="C64" i="6"/>
  <c r="C63" i="6"/>
  <c r="C58" i="6"/>
  <c r="C60" i="6"/>
  <c r="C57" i="6"/>
  <c r="C51" i="6"/>
  <c r="C53" i="6"/>
  <c r="C50" i="6"/>
  <c r="C46" i="6"/>
  <c r="C44" i="6"/>
  <c r="C43" i="6"/>
  <c r="C39" i="6"/>
  <c r="C37" i="6"/>
  <c r="C36" i="6"/>
  <c r="C28" i="6"/>
  <c r="C30" i="6"/>
  <c r="C29" i="6"/>
  <c r="C19" i="4"/>
  <c r="C169" i="7" l="1"/>
  <c r="C74" i="2"/>
  <c r="C72" i="2"/>
  <c r="C68" i="2"/>
  <c r="C66" i="2"/>
  <c r="C65" i="2"/>
  <c r="C64" i="2"/>
  <c r="C63" i="2"/>
  <c r="C59" i="2"/>
  <c r="C57" i="2"/>
  <c r="C56" i="2"/>
  <c r="C55" i="2"/>
  <c r="C51" i="2"/>
  <c r="C49" i="2"/>
  <c r="C48" i="2"/>
  <c r="C47" i="2"/>
  <c r="C43" i="2"/>
  <c r="C41" i="2"/>
  <c r="C40" i="2"/>
  <c r="C39" i="2"/>
  <c r="C38" i="2"/>
  <c r="C32" i="2"/>
  <c r="C31" i="2"/>
  <c r="C30" i="2"/>
  <c r="C29" i="2"/>
  <c r="C22" i="10"/>
  <c r="C21" i="10" s="1"/>
  <c r="C20" i="10"/>
  <c r="C15" i="10"/>
  <c r="C17" i="10"/>
  <c r="C16" i="10" s="1"/>
  <c r="C10" i="10"/>
  <c r="C9" i="10" s="1"/>
  <c r="C8" i="10"/>
  <c r="C68" i="10"/>
  <c r="C64" i="10"/>
  <c r="C60" i="10"/>
  <c r="C58" i="10"/>
  <c r="G47" i="10"/>
  <c r="G52" i="10" s="1"/>
  <c r="G64" i="10" s="1"/>
  <c r="C100" i="2"/>
  <c r="G100" i="2" s="1"/>
  <c r="G95" i="2"/>
  <c r="G10" i="10" l="1"/>
  <c r="G17" i="10"/>
  <c r="G22" i="10"/>
  <c r="C99" i="2"/>
  <c r="G27" i="10" l="1"/>
  <c r="G60" i="10" s="1"/>
  <c r="G68" i="10" s="1"/>
  <c r="G19" i="4" s="1"/>
  <c r="C89" i="2"/>
  <c r="G89" i="2" s="1"/>
  <c r="C108" i="5"/>
  <c r="G108" i="5" s="1"/>
  <c r="C104" i="5"/>
  <c r="G104" i="5" s="1"/>
  <c r="C380" i="2"/>
  <c r="C374" i="2"/>
  <c r="C368" i="2"/>
  <c r="C367" i="2"/>
  <c r="C369" i="2"/>
  <c r="C347" i="2"/>
  <c r="G349" i="2" s="1"/>
  <c r="C342" i="2"/>
  <c r="C337" i="2"/>
  <c r="C355" i="2"/>
  <c r="C354" i="2" s="1"/>
  <c r="C317" i="2"/>
  <c r="G317" i="2" s="1"/>
  <c r="C310" i="2"/>
  <c r="G310" i="2" s="1"/>
  <c r="C284" i="2"/>
  <c r="G284" i="2" s="1"/>
  <c r="C265" i="2"/>
  <c r="C88" i="2" l="1"/>
  <c r="G355" i="2"/>
  <c r="C103" i="5"/>
  <c r="C107" i="5"/>
  <c r="G337" i="2"/>
  <c r="C336" i="2"/>
  <c r="G342" i="2"/>
  <c r="C341" i="2"/>
  <c r="C348" i="2"/>
  <c r="C316" i="2"/>
  <c r="C309" i="2"/>
  <c r="C283" i="2"/>
  <c r="G266" i="2"/>
  <c r="C247" i="2" l="1"/>
  <c r="G247" i="2" s="1"/>
  <c r="C229" i="2"/>
  <c r="G229" i="2" s="1"/>
  <c r="G205" i="2"/>
  <c r="C193" i="2"/>
  <c r="G193" i="2" s="1"/>
  <c r="G187" i="2"/>
  <c r="C186" i="2"/>
  <c r="G181" i="2"/>
  <c r="C180" i="2"/>
  <c r="C246" i="2" l="1"/>
  <c r="C228" i="2"/>
  <c r="C204" i="2"/>
  <c r="C192" i="2"/>
  <c r="C7" i="2" l="1"/>
  <c r="G122" i="7" l="1"/>
  <c r="C121" i="7"/>
  <c r="C213" i="6" l="1"/>
  <c r="C206" i="6"/>
  <c r="C192" i="6"/>
  <c r="G217" i="2" l="1"/>
  <c r="C145" i="2"/>
  <c r="G145" i="2" s="1"/>
  <c r="C216" i="2" l="1"/>
  <c r="C144" i="2"/>
  <c r="C17" i="4" l="1"/>
  <c r="C13" i="4"/>
  <c r="C236" i="7"/>
  <c r="C232" i="7"/>
  <c r="C230" i="7"/>
  <c r="C228" i="7"/>
  <c r="C226" i="7"/>
  <c r="C224" i="7"/>
  <c r="C222" i="7"/>
  <c r="C176" i="7"/>
  <c r="C175" i="7" s="1"/>
  <c r="C164" i="7"/>
  <c r="G164" i="7" s="1"/>
  <c r="C129" i="7"/>
  <c r="C128" i="7" s="1"/>
  <c r="G116" i="7"/>
  <c r="C64" i="7"/>
  <c r="G64" i="7" s="1"/>
  <c r="G56" i="7"/>
  <c r="G48" i="7"/>
  <c r="G40" i="7"/>
  <c r="G26" i="7"/>
  <c r="C7" i="7"/>
  <c r="C198" i="7" l="1"/>
  <c r="C205" i="7" s="1"/>
  <c r="C9" i="7"/>
  <c r="C163" i="7"/>
  <c r="G103" i="7"/>
  <c r="G228" i="7" s="1"/>
  <c r="G176" i="7"/>
  <c r="G33" i="7"/>
  <c r="C115" i="7"/>
  <c r="C8" i="7"/>
  <c r="G62" i="7"/>
  <c r="G129" i="7"/>
  <c r="C207" i="7" l="1"/>
  <c r="G207" i="7" s="1"/>
  <c r="C200" i="7"/>
  <c r="G200" i="7" s="1"/>
  <c r="G211" i="7" s="1"/>
  <c r="G232" i="7" s="1"/>
  <c r="G192" i="7"/>
  <c r="G230" i="7" s="1"/>
  <c r="G67" i="7"/>
  <c r="G226" i="7" s="1"/>
  <c r="G9" i="7"/>
  <c r="G14" i="7" s="1"/>
  <c r="G224" i="7" s="1"/>
  <c r="C199" i="7"/>
  <c r="C206" i="7"/>
  <c r="G236" i="7" l="1"/>
  <c r="G17" i="4" s="1"/>
  <c r="C463" i="2" l="1"/>
  <c r="C130" i="2" l="1"/>
  <c r="C124" i="2"/>
  <c r="G324" i="2" l="1"/>
  <c r="G296" i="2"/>
  <c r="G290" i="2"/>
  <c r="C278" i="2"/>
  <c r="G278" i="2" s="1"/>
  <c r="C260" i="2"/>
  <c r="G260" i="2" s="1"/>
  <c r="C241" i="2"/>
  <c r="G241" i="2" s="1"/>
  <c r="C235" i="2"/>
  <c r="C234" i="2" s="1"/>
  <c r="C223" i="2"/>
  <c r="G223" i="2" s="1"/>
  <c r="G211" i="2"/>
  <c r="C199" i="2"/>
  <c r="G199" i="2" s="1"/>
  <c r="G175" i="2"/>
  <c r="G169" i="2"/>
  <c r="G163" i="2"/>
  <c r="G157" i="2"/>
  <c r="C151" i="2"/>
  <c r="G151" i="2" s="1"/>
  <c r="C139" i="2"/>
  <c r="C138" i="2" s="1"/>
  <c r="G130" i="2"/>
  <c r="C129" i="2"/>
  <c r="G124" i="2"/>
  <c r="C123" i="2"/>
  <c r="C198" i="2" l="1"/>
  <c r="C209" i="2"/>
  <c r="C323" i="2"/>
  <c r="C277" i="2"/>
  <c r="C162" i="2"/>
  <c r="C222" i="2"/>
  <c r="C289" i="2"/>
  <c r="C150" i="2"/>
  <c r="C168" i="2"/>
  <c r="C295" i="2"/>
  <c r="C174" i="2"/>
  <c r="C240" i="2"/>
  <c r="C259" i="2"/>
  <c r="G139" i="2"/>
  <c r="G235" i="2"/>
  <c r="C156" i="2"/>
  <c r="C387" i="2"/>
  <c r="C181" i="6"/>
  <c r="G361" i="2" l="1"/>
  <c r="C389" i="2"/>
  <c r="C179" i="6"/>
  <c r="G131" i="5"/>
  <c r="C153" i="5"/>
  <c r="C139" i="6" l="1"/>
  <c r="G139" i="6" s="1"/>
  <c r="C138" i="6" l="1"/>
  <c r="C145" i="6"/>
  <c r="C144" i="6" s="1"/>
  <c r="G145" i="6" l="1"/>
  <c r="C115" i="6" l="1"/>
  <c r="G86" i="6" l="1"/>
  <c r="C260" i="6" l="1"/>
  <c r="G53" i="6" l="1"/>
  <c r="G111" i="5" l="1"/>
  <c r="C98" i="5"/>
  <c r="G98" i="5" s="1"/>
  <c r="C94" i="5"/>
  <c r="G94" i="5" s="1"/>
  <c r="C97" i="5" l="1"/>
  <c r="C93" i="5"/>
  <c r="C9" i="2" l="1"/>
  <c r="C14" i="2"/>
  <c r="G14" i="2" s="1"/>
  <c r="G9" i="2" l="1"/>
  <c r="C8" i="2"/>
  <c r="C13" i="2"/>
  <c r="G29" i="5"/>
  <c r="C14" i="6" l="1"/>
  <c r="E15" i="5" l="1"/>
  <c r="C125" i="5" s="1"/>
  <c r="E11" i="5"/>
  <c r="C124" i="5" s="1"/>
  <c r="G175" i="6" l="1"/>
  <c r="C92" i="6"/>
  <c r="C91" i="6" s="1"/>
  <c r="E7" i="5" l="1"/>
  <c r="C123" i="5" s="1"/>
  <c r="C127" i="5" s="1"/>
  <c r="C126" i="5" l="1"/>
  <c r="G127" i="5"/>
  <c r="G137" i="5" s="1"/>
  <c r="G153" i="5" s="1"/>
  <c r="C11" i="4"/>
  <c r="C15" i="4"/>
  <c r="C459" i="2" l="1"/>
  <c r="C457" i="2"/>
  <c r="C428" i="2"/>
  <c r="C397" i="2"/>
  <c r="G383" i="2"/>
  <c r="G377" i="2"/>
  <c r="C434" i="2" l="1"/>
  <c r="G434" i="2" s="1"/>
  <c r="C423" i="2"/>
  <c r="C433" i="2" l="1"/>
  <c r="C258" i="6" l="1"/>
  <c r="G17" i="2"/>
  <c r="C7" i="6"/>
  <c r="C9" i="6" s="1"/>
  <c r="G14" i="6"/>
  <c r="C76" i="2"/>
  <c r="G76" i="2" s="1"/>
  <c r="G68" i="2"/>
  <c r="G59" i="2"/>
  <c r="G43" i="2"/>
  <c r="G34" i="2"/>
  <c r="C237" i="6"/>
  <c r="G9" i="6" l="1"/>
  <c r="C13" i="6"/>
  <c r="G51" i="2"/>
  <c r="G74" i="2"/>
  <c r="C239" i="6"/>
  <c r="G239" i="6" s="1"/>
  <c r="G81" i="2" l="1"/>
  <c r="G459" i="2" s="1"/>
  <c r="G26" i="5"/>
  <c r="G21" i="2"/>
  <c r="G457" i="2" s="1"/>
  <c r="C8" i="6"/>
  <c r="C238" i="6"/>
  <c r="G20" i="6" l="1"/>
  <c r="G258" i="6" s="1"/>
  <c r="C231" i="6"/>
  <c r="C224" i="6"/>
  <c r="G213" i="6"/>
  <c r="C233" i="6" l="1"/>
  <c r="G233" i="6" s="1"/>
  <c r="C226" i="6"/>
  <c r="C212" i="6"/>
  <c r="C232" i="6" l="1"/>
  <c r="C132" i="6" l="1"/>
  <c r="C125" i="6"/>
  <c r="G92" i="6" l="1"/>
  <c r="C272" i="6"/>
  <c r="C268" i="6"/>
  <c r="C266" i="6"/>
  <c r="C264" i="6"/>
  <c r="C262" i="6"/>
  <c r="C256" i="6"/>
  <c r="G206" i="6"/>
  <c r="C205" i="6"/>
  <c r="G200" i="6"/>
  <c r="C199" i="6"/>
  <c r="G192" i="6"/>
  <c r="C191" i="6"/>
  <c r="C184" i="6"/>
  <c r="G184" i="6" s="1"/>
  <c r="C174" i="6"/>
  <c r="G170" i="6"/>
  <c r="C169" i="6"/>
  <c r="G165" i="6"/>
  <c r="C164" i="6"/>
  <c r="C151" i="6"/>
  <c r="G151" i="6" s="1"/>
  <c r="G132" i="6"/>
  <c r="G125" i="6"/>
  <c r="C74" i="6"/>
  <c r="G74" i="6" s="1"/>
  <c r="G66" i="6"/>
  <c r="G46" i="6"/>
  <c r="G39" i="6"/>
  <c r="G32" i="6"/>
  <c r="G67" i="5"/>
  <c r="G65" i="5"/>
  <c r="G60" i="6" l="1"/>
  <c r="C97" i="6"/>
  <c r="G97" i="6" s="1"/>
  <c r="G116" i="6"/>
  <c r="G157" i="6" s="1"/>
  <c r="C150" i="6"/>
  <c r="G226" i="6"/>
  <c r="G245" i="6" s="1"/>
  <c r="G268" i="6" s="1"/>
  <c r="C225" i="6"/>
  <c r="G72" i="6"/>
  <c r="G181" i="6"/>
  <c r="C131" i="6"/>
  <c r="C124" i="6"/>
  <c r="G103" i="6" l="1"/>
  <c r="G262" i="6" s="1"/>
  <c r="C96" i="6"/>
  <c r="G264" i="6"/>
  <c r="G80" i="6"/>
  <c r="G219" i="6"/>
  <c r="G266" i="6" s="1"/>
  <c r="G260" i="6" l="1"/>
  <c r="G86" i="5"/>
  <c r="G83" i="5"/>
  <c r="G61" i="5"/>
  <c r="C54" i="5"/>
  <c r="C53" i="5" s="1"/>
  <c r="C157" i="5"/>
  <c r="C151" i="5"/>
  <c r="C149" i="5"/>
  <c r="C147" i="5"/>
  <c r="G70" i="5"/>
  <c r="G58" i="5"/>
  <c r="C49" i="5"/>
  <c r="G49" i="5" s="1"/>
  <c r="G44" i="5"/>
  <c r="G41" i="5"/>
  <c r="G38" i="5"/>
  <c r="G35" i="5"/>
  <c r="G32" i="5"/>
  <c r="G22" i="5"/>
  <c r="G272" i="6" l="1"/>
  <c r="G15" i="4" s="1"/>
  <c r="G117" i="5"/>
  <c r="G54" i="5"/>
  <c r="G77" i="5" s="1"/>
  <c r="C48" i="5"/>
  <c r="G151" i="5" l="1"/>
  <c r="G149" i="5" l="1"/>
  <c r="G157" i="5" l="1"/>
  <c r="G11" i="4" s="1"/>
  <c r="C471" i="2" l="1"/>
  <c r="C467" i="2"/>
  <c r="C465" i="2"/>
  <c r="C461" i="2"/>
  <c r="C455" i="2"/>
  <c r="C407" i="2" l="1"/>
  <c r="G407" i="2" s="1"/>
  <c r="C406" i="2" l="1"/>
  <c r="C439" i="2" l="1"/>
  <c r="G439" i="2" s="1"/>
  <c r="C438" i="2" l="1"/>
  <c r="G397" i="2" l="1"/>
  <c r="C396" i="2"/>
  <c r="C392" i="2"/>
  <c r="G392" i="2" s="1"/>
  <c r="G371" i="2"/>
  <c r="G389" i="2" l="1"/>
  <c r="G413" i="2" l="1"/>
  <c r="G465" i="2" s="1"/>
  <c r="C105" i="2" l="1"/>
  <c r="G105" i="2" s="1"/>
  <c r="G111" i="2" s="1"/>
  <c r="C104" i="2" l="1"/>
  <c r="C427" i="2" l="1"/>
  <c r="G423" i="2"/>
  <c r="G461" i="2" l="1"/>
  <c r="G428" i="2"/>
  <c r="G445" i="2" s="1"/>
  <c r="C422" i="2"/>
  <c r="G463" i="2"/>
  <c r="G467" i="2" l="1"/>
  <c r="G471" i="2" l="1"/>
  <c r="G13" i="4" s="1"/>
  <c r="G22" i="4" l="1"/>
  <c r="G24" i="4" s="1"/>
  <c r="G26" i="4" s="1"/>
</calcChain>
</file>

<file path=xl/sharedStrings.xml><?xml version="1.0" encoding="utf-8"?>
<sst xmlns="http://schemas.openxmlformats.org/spreadsheetml/2006/main" count="1289" uniqueCount="358">
  <si>
    <t>I)</t>
  </si>
  <si>
    <t>A)</t>
  </si>
  <si>
    <t>PRIPREMNI RADOVI</t>
  </si>
  <si>
    <t>1.</t>
  </si>
  <si>
    <t>kom.</t>
  </si>
  <si>
    <t>x</t>
  </si>
  <si>
    <t>=</t>
  </si>
  <si>
    <t>2.</t>
  </si>
  <si>
    <t>m’</t>
  </si>
  <si>
    <r>
      <t xml:space="preserve">Dobava materijala, izrada, postavljanje i demontaža </t>
    </r>
    <r>
      <rPr>
        <b/>
        <sz val="11"/>
        <rFont val="Arial"/>
        <family val="2"/>
        <charset val="238"/>
      </rPr>
      <t>privremenih mostića za prijelaz pješaka</t>
    </r>
    <r>
      <rPr>
        <sz val="11"/>
        <rFont val="Arial"/>
        <family val="2"/>
        <charset val="238"/>
      </rPr>
      <t xml:space="preserve"> preko iskopanog rova za vrijeme izvođenja radova. Mostiće s rukohvatom je potrebno izvesti stabilne i sigurne za prijelaz pješaka, širine min. 0,8 m, visine ograde 1,0 m, sve prema propisima zaštite na radu.
Potrebna je izrada mostića na način da se mogu upotrebljavati višekratno, što znači po završetku određene dionice planirana je njihova demontaža, preseljenje na novu lokaciju i ponovna montaža.
Broj demontaže i ponovne montaže na drugu lokaciju ovisi isključivo o dinamici izvođenja radova.
Jedinična cijena stavka uključuje sve potrebne radove, materijale, pomoćna sredstva i transporte za kompletnu izvedbu stavke.
Obračun po komadu izrađenog i komadu postavljenog, tj. preseljenog mostića.</t>
    </r>
  </si>
  <si>
    <t>Izrada mostića</t>
  </si>
  <si>
    <t xml:space="preserve">    </t>
  </si>
  <si>
    <t>Postava (preseljenje) mostića i demontaža mostića</t>
  </si>
  <si>
    <t>m²</t>
  </si>
  <si>
    <t>PRIPREMNI RADOVI UKUPNO:</t>
  </si>
  <si>
    <t>1.1.</t>
  </si>
  <si>
    <r>
      <t>Regulacija i signalizacija prometa</t>
    </r>
    <r>
      <rPr>
        <sz val="11"/>
        <rFont val="Arial"/>
        <family val="2"/>
        <charset val="238"/>
      </rPr>
      <t xml:space="preserve"> prilikom izvođenja radova na uzdužnim i poprečnim prekopima prometnica, sve prema elaboratu privremene regulacije prometa.
Za vrijeme izvođenja radova na prometnici je potrebno obilježiti mjesta radova propisanim prometnim markerima.
Jedinična cijena stavke uključuje dobavu, postavu i skidanje svih potrebnih prometnih znakova prema uputama nadležne službe i nadzornog inženjera, sve potrebne radove i materijale.
Obračun po m' prometnice.</t>
    </r>
  </si>
  <si>
    <r>
      <rPr>
        <b/>
        <sz val="11"/>
        <rFont val="Arial"/>
        <family val="2"/>
        <charset val="238"/>
      </rPr>
      <t>Pažljivi ručni iskop probnih rovova (šliceva)</t>
    </r>
    <r>
      <rPr>
        <sz val="11"/>
        <rFont val="Arial"/>
        <family val="2"/>
        <charset val="238"/>
      </rPr>
      <t xml:space="preserve"> bez obzira na kategoriju terena na dijelu projektiranih cjevovoda, gdje se očekuje da bi moglo doći do križanja s drugim postojećim instalacijama. Probni rovovi se predviđaju izvesti poprečno duljine 1,20 m, širine 0,60 m, dubine najviše one koja je projektirana dubina rova cjevovoda.
U jediničnoj cijeni stavke uračunato je i zatrpavanje istih. Za svaki probni rov prema prethodnim dimenzijama treba 1,50 m³ iskopa i zatrpavanja. Prije nego se pristupi iskopu probnih rovova i svim ostalim radovima na terenu treba obilježiti sve postojeće ukopane instalacije.
Obračun po komadu izvedenog probnog rova sa zatrpavanjem, sveukupno.</t>
    </r>
  </si>
  <si>
    <t>B)</t>
  </si>
  <si>
    <t>ZEMLJANI RADOVI</t>
  </si>
  <si>
    <t>m³</t>
  </si>
  <si>
    <t>m'</t>
  </si>
  <si>
    <t>Utovar i odvoz</t>
  </si>
  <si>
    <t>Istovar i planiranje na reciklažnom dvorištu za građevni otpad</t>
  </si>
  <si>
    <t>ZEMLJANI RADOVI UKUPNO:</t>
  </si>
  <si>
    <t>Jedinična cijena stavke uključuje sav potreban rad, materijal i transporte za kompletnu izvedbu opisanog rada. U cijeni su predviđene i sve zaštitne i sigurnosne mjere duž trase, kao i sva potrebna razupiranja rova, što će se odrediti na licu mjesta za vrijeme iskopa, u ovisnosti o kategoriji tla i uz suglasnost nadzornog inženjera.
Na dionicama po prometnicama ili u naseljima materijal iz iskopa se ne smije odlagati na kolnik već utovariti i odvesti na privremenu gradilišnu deponiju.
Materijal iz iskopa koji se neće koristiti za zatrpavanje rova odvesti na reciklažno dvorište za građevni otpad, što je obračunato posebnom stavkom troškovnika.
Obračun će se izvršiti prema projektiranom profilu bez priznavanja prekomjerno izvedenih količina iskopa.
Obračun po m³ iskopanog materijala u sraslom stanju.</t>
  </si>
  <si>
    <t>Sveukupan iskop umanjen za zatrpavanje probranim materijalom x 1,35</t>
  </si>
  <si>
    <t>C)</t>
  </si>
  <si>
    <t>BETONSKI RADOVI</t>
  </si>
  <si>
    <t>2.1.</t>
  </si>
  <si>
    <t>BETONSKI RADOVI UKUPNO:</t>
  </si>
  <si>
    <t>D)</t>
  </si>
  <si>
    <t>E)</t>
  </si>
  <si>
    <r>
      <t>Ponuditelj može ponuditi samo jednakovrijedni proizvod.</t>
    </r>
    <r>
      <rPr>
        <b/>
        <sz val="11"/>
        <rFont val="Arial"/>
        <family val="2"/>
        <charset val="238"/>
      </rPr>
      <t xml:space="preserve">
Ponuđeni proizvod:</t>
    </r>
    <r>
      <rPr>
        <sz val="11"/>
        <rFont val="Arial"/>
        <family val="2"/>
        <charset val="238"/>
      </rPr>
      <t xml:space="preserve">
Tip:_________________________________
Proizvođač:__________________________
Zemlja porijekla:_______________________</t>
    </r>
  </si>
  <si>
    <r>
      <rPr>
        <b/>
        <u/>
        <sz val="11"/>
        <rFont val="Arial"/>
        <family val="2"/>
        <charset val="238"/>
      </rPr>
      <t>NAPOMENA:</t>
    </r>
    <r>
      <rPr>
        <b/>
        <sz val="11"/>
        <rFont val="Arial"/>
        <family val="2"/>
        <charset val="238"/>
      </rPr>
      <t xml:space="preserve">
</t>
    </r>
    <r>
      <rPr>
        <sz val="11"/>
        <rFont val="Arial"/>
        <family val="2"/>
        <charset val="238"/>
      </rPr>
      <t>Cijene koje se odnose na materijal i opremu u sebi trebaju sadržavati:
* vrijednost opreme i materijala s troškovima transporta i osiguranja do privremenog odlagališta gradilišta
* cijena obuhvaća i sav potrebni spojni, brtveni i ostali materijal za postavljanje pojedine opreme i materijala u položaj za upotrebu i ispravno funkcioniranje
* za uvoznu opremu cijena treba sadržavati i carinu
* izvođač radova treba izvršiti kontrolna ispitivanja unutarnjeg tlaka preko akreditiranog laboratorija za tu metodu ispitivanja u skladu sa naputcima HV, za sve tlačne cijevi. Uzimanje uzoraka izvršiti po naputku metode ispitivanja obavezno uz prisustvo nadzornog inženjera. Vrši se po jedno ispitivanje za svaku vrstu materijala i za svaki profil i to iz prve dopreme materijala na gradilište, kako bi se rezultati dobili prije same ugradnje cijevi.
* certifikate za materijal i opremu, te priručnike za montažu opreme, održavanje i servisiranje (na jeziku zemlje proizvođača opreme i prijevod na hrvatski jezik).
* garancijske listove
Od dobave materijala na gradilišnu deponiju do ugradnje potrebno je sav materijal ispravno skladištiti u skladu s uputama Proizvođača.</t>
    </r>
  </si>
  <si>
    <t>F)</t>
  </si>
  <si>
    <t>OSTALI RADOVI</t>
  </si>
  <si>
    <t>Prilikom kontrole/snimanja, cjevovod i okna moraju biti čista, te ukoliko se prilikom snimanja uoči da u cjevovodu ima materijala, snimanje treba ponoviti nakon što se cjevovod očisti, sve kako bi se sva eventualna oštećenja, deformacije i neispravnosti na izvedenom cjevovodu mogle uočiti snimanjem i evidentirati izvješćem.
CCTV inspekcija ne smije se vršiti brzinom većom od 15cm/s. Minimalna rezolucija snimke CCTV inspekcije mora biti 768x576 pixela. Robot kamera kojom se vrši CCTV inspekcija mora posjedovati pan&amp;tilt opciju za mjerenje stvarnog pada kanala. Stvarni pad kanala za svaku dionicu/sekciju kolektora mora biti sastavni dio izvještaja.
Izvješće CCTV inspekcije se mora proanalizirati i pregledati zajedno sa nadzornim inženjerom i ako postoje nepravilnosti koje je potrebno sanirati, odnosno ako su izvješćem evidentirani kodovi prema normi HRN EN 13508-2/AC ili jednakovrijedno koji opisuju neispravnosti po uvjetu vodonepropusnosti, strukturalne stabilnosti ili osiguranja funkcionalnosti koje treba sanirati. Izvođač je dužan sanirati te nepravilnosti u cilju postizanja kvalitete ispravnosti izvedenog cjevovoda po sva tri uvjeta.</t>
  </si>
  <si>
    <t>OSTALI RADOVI UKUPNO:</t>
  </si>
  <si>
    <t>V-1:</t>
  </si>
  <si>
    <t>Predmet ovog troškovnika je:</t>
  </si>
  <si>
    <t>3.</t>
  </si>
  <si>
    <t>4.</t>
  </si>
  <si>
    <t>5.</t>
  </si>
  <si>
    <t>6.</t>
  </si>
  <si>
    <r>
      <t xml:space="preserve">Izrada plana izvođenja radova </t>
    </r>
    <r>
      <rPr>
        <sz val="11"/>
        <rFont val="Arial"/>
        <family val="2"/>
        <charset val="238"/>
      </rPr>
      <t>u fazi izrade izvedbenog projekta od strane ovlaštene osobe - koordinatora I. Plan izvođenja radova mora sadržavati detaljan tehničko-tehnološki elaborat.
Jedinična cijena stavke uključuje sve potrebne terenske i uredske radove za izradu plana u minimalno 3 (tri) uvezana primjerka i 1 (jedan) primjerak na digitalnom mediju.
Obračun po komadu.</t>
    </r>
  </si>
  <si>
    <r>
      <t xml:space="preserve">Izrada elaborata privremene regulacije prometa.
</t>
    </r>
    <r>
      <rPr>
        <sz val="11"/>
        <rFont val="Arial"/>
        <family val="2"/>
        <charset val="238"/>
      </rPr>
      <t>Jedinična cijena stavke uključuje sve potrebne terenske i uredske radove za izradu elaborata u minimalno 4 (četiri) uvezana primjeraka i 1 (jedan) primjerak na digitalnom mediju.
Obračun po komadu.</t>
    </r>
  </si>
  <si>
    <t>7.</t>
  </si>
  <si>
    <t>8.</t>
  </si>
  <si>
    <t>9.</t>
  </si>
  <si>
    <t>10.</t>
  </si>
  <si>
    <t>11.</t>
  </si>
  <si>
    <t>12.</t>
  </si>
  <si>
    <t>7.1.</t>
  </si>
  <si>
    <t>8.1.</t>
  </si>
  <si>
    <r>
      <rPr>
        <b/>
        <sz val="11"/>
        <rFont val="Arial"/>
        <family val="2"/>
        <charset val="238"/>
      </rPr>
      <t>Zaštita, osiguranje ili pridržavanje-podupiranje svih postojećih podzemnih instalacija</t>
    </r>
    <r>
      <rPr>
        <sz val="11"/>
        <rFont val="Arial"/>
        <family val="2"/>
        <charset val="238"/>
      </rPr>
      <t>.
Obračunata zaštita, osiguranje ili pridržavanje-podupiranje svih postojećih podzemnih instalacija, koje prelaze poprijeko iskopanog rova ili su vođene neposredno paralelno s trasom.
Osiguranje i podupiranje instalacije izvesti prema uvjetima i uputama nadležne službe vlasnika instalacije, te izvedbenim projektom. Ako izvedbenim projektom nije obuhvaćeno rješenje zaštite instalacije potrebno je izraditi izvedbeno rješenje zaštite i osiguranja postojećih instalacija i dati ga na odobrenje Nadzornom inženjeru i službi vlasnika instalacije.
Na dionicama gdje postojeće instalacije dolaze u koliziju sa trasom projektiranih cjevovoda, potrebno je izvesti rekonstrukciju istih u dogovoru sa vlasnikom instalacija, a uz suglasnost Nadzornog inženjera.
Obuhvaćeni su svi potrebni radovi, materijali, sredstva i svi troškovi vlasnika instalacija za njihovo osiguranje.
Obračun po komadu križanja, odnosno m' paralelnog vođenja.</t>
    </r>
  </si>
  <si>
    <t>5.1.</t>
  </si>
  <si>
    <t>6.1.</t>
  </si>
  <si>
    <t>6.2.</t>
  </si>
  <si>
    <t>Pretpostavlja se da je 20% nosivog sloja ceste izvan obračunskog rova adekvatno tamponirano te ga je potrebno poravnati i uvaljati.
Obračun po m² poravnatog i uvaljanog tampona.</t>
  </si>
  <si>
    <t>3.1.</t>
  </si>
  <si>
    <t>4.1.</t>
  </si>
  <si>
    <t>U pravilu duljina cijevi je 6,00 m, a ona može iznositi više ili manje što se mora definirati izvedbenim projektom.
Način spajanja cijevi međusobno i na revizijsko okno mora osiguravati trajnu vodonepropusnost svih spojeva.
Uz cijevi nabaviti i dopremiti sav potreban spojni i brtveni materijal za spajanje cijevi međusobno i na okna, te potrebne alate za montažu prema uputama Proizvođača.</t>
  </si>
  <si>
    <t>PRIPREMA KUĆNIH PRIKLJUČAKA NA JAVNOJ POVRŠINI</t>
  </si>
  <si>
    <t>PRIPREMA KUĆNIH PRIKLJUČAKA NA JAVNOJ POVRŠINI UKUPNO:</t>
  </si>
  <si>
    <t>5.2.</t>
  </si>
  <si>
    <t>Ispitivanje vršiti prije asfaltiranja, a poslije zatrpavanja. Ako cjevovod ili kontrolno okno ne zadovoljava ispitne zahtjeve Izvođač je dužan sanirati cjevovod ili/i kontrolno okno, te ponoviti ispitivanje. Sva višekratna ispitivanja neće se posebno obračunavati, već svako drugo i daljnje ispitivanje ide na teret Izvođača radova.
Završno izvješće mora biti ovjereno od laboratorija koji je akreditiran za provedbu ispitivanja.
Jedinična cijena stavke uključuje sav potreban rad, materijal, vodu koja se koristi za ispitivanje i pomoćna sredstva za izvedbu opisanog rada i završno izvješće predano u najmanje 3 primjerka izdano i ovjereno od laboratorija koji je vršio ispitivanje.
Pogledati: Program kontrole i osiguranje kvalitete u sklopu glavnog projekta i postupati u skladu s time.
Obračun po m'.</t>
  </si>
  <si>
    <t>Po izvršenoj sanaciji potrebno je  ispravnost saniranog cjevovoda dokazati ponovnom CCTV inspekcijom i izvješćem prema normi HRN EN 13508-2/AC ili jednakovrijedno. Sva te višekratne CCTV inspekcije/snimanja robot-kamerom sa izradom izvješća neće se posebno obračunavati, već svako drugo i daljnje snimanje kao i izrada izvješća ide na teret Izvođača radova.
Jedinična cijena stavke uključuje sav potreban rad, opremu i pomoćna sredstva za izvedbu opisanog rada i završno izvješće predano u najmanje 3 primjeraka i na CD-u, izdano i ovjereno od specijalizirane tvrtke /ispitivača koji je vršio CCTV inspekciju sukladno normi HRN EN 13508-2/AC ili jednakovrijedno.
Pogledati Program kontrole i osiguranje kvalitete u sklopu glavnog projekta i postupati u skladu s time.
Obračun po m'.</t>
  </si>
  <si>
    <t>FAZONSKI KOMADI</t>
  </si>
  <si>
    <t>ARMATURE</t>
  </si>
  <si>
    <t>Cijenom stavke obuhvaćeni su svi potrebni radovi, materijali, pomagala, transporti, uključujući i potrebnu količinu vode koju je potrebno previdjeti zajedno sa hidrantskim priključkom i vodomjerom za kompletno ispitivanje sve do konačne uspješnosti.
Sva višekratna ispitivanja na jednoj dionici neće se posebno priznavati, već svako drugo i daljnje ispitivanje na istoj dionici ide na teret Izvođača.
Obračun po m' uspješno ispitanog cjevovoda.</t>
  </si>
  <si>
    <t>POGLAVLJA:</t>
  </si>
  <si>
    <t>II)</t>
  </si>
  <si>
    <t>REKAPITULACIJA</t>
  </si>
  <si>
    <t>SVEUKUPNA REKAPITULACIJA</t>
  </si>
  <si>
    <t>UKUPNO</t>
  </si>
  <si>
    <t>PDV (25%)</t>
  </si>
  <si>
    <t>SVEUKUPNO</t>
  </si>
  <si>
    <t>Podloška treba biti od poliamida ojačana staklenim vlaknima.
Sedlasta brtva treba biti od NBR gume.
Minimalna širina stremena (držača) treba biti 70 mm prema DIN 3543-2 normi ili "jednakovrijedno.</t>
  </si>
  <si>
    <t>DOBAVA, DOPREMA I UGRADNJA MATERIJALA</t>
  </si>
  <si>
    <t>DOBAVA, DOPREMA I UGRADNJA MATERIJALA UKUPNO:</t>
  </si>
  <si>
    <r>
      <rPr>
        <b/>
        <sz val="11"/>
        <rFont val="Arial"/>
        <family val="2"/>
        <charset val="238"/>
      </rPr>
      <t>Razbijanje asfaltnog zastora</t>
    </r>
    <r>
      <rPr>
        <sz val="11"/>
        <rFont val="Arial"/>
        <family val="2"/>
        <charset val="238"/>
      </rPr>
      <t xml:space="preserve"> na dijelu trase projektiranog cjevovoda koji prolazi asfaltiranim prometnicama, bez obzira na debljinu sloja.
Asfalt se razbija u kompletnoj širini prometnice.
Jedinična cijena stavke uključuje sav potreban rad, materijal i pomoćna sredstva za izvedbu opisanog rada, kao i ukrcavanje u kamione, te odvoz i istovar materijala na reciklažno dvorište za građevni otpad.
Obračun po m².</t>
    </r>
  </si>
  <si>
    <t>Certifikat mora sadržavati sljedeće ispitne elemente:
a) Hidrostatski ispitni pritisak (bar)
b) Granična elastičnost (N/mm²)
c) Vučna sila (N/mm²)
d) Produženje na vlak (%)
e) Čvrstoća materijala (HB)
U cijenu uračunati kompletan spojni i brtveni materijal - gumene prstenove za spoj na naglavak i sredstvo za podmazivanje gumica i cijevi.
U cijenu je uključena geodetska nivelacija cjevovoda i kontrola zatrpavanja od strane montera.
Jedinična cijena stavke uključuje sav potreban rad, materijal i transporte za izvedbu stavke.
Obračun po m' dobavljene i ugrađene cijevi, komplet sa brtvenim materijalom.</t>
  </si>
  <si>
    <t>Jedinična cijena stavke uključuje sav potreban potreban materijal, uključujući spojni i brtveni materijal, što uključuje nabavu i dopremu vijaka s elastičnom podloškom i maticom, brtvi, kao i mast za podmazivanje, radove, pomoćna sredstva i transporte, potreban alat za montažu te spajanje komada međusobno i na ostalu opremu.
Obračun po komadu dobavljenog i ugrađenog fazonskog komada i armature, s kompletom spojnog materijala.</t>
  </si>
  <si>
    <t>FK-1:</t>
  </si>
  <si>
    <r>
      <rPr>
        <b/>
        <sz val="11"/>
        <rFont val="Arial"/>
        <family val="2"/>
        <charset val="238"/>
      </rPr>
      <t>Izrada elaborata osiguranja dokaza</t>
    </r>
    <r>
      <rPr>
        <sz val="11"/>
        <rFont val="Arial"/>
        <family val="2"/>
        <charset val="238"/>
      </rPr>
      <t xml:space="preserve"> za ugovor o izvođenju radova po predmetnom projektu.
Prvi dio EOD se sastoji od elaborata postojećeg stanja koji se predaje prije početka izvođenja radova, a kojim je obuhvaćeno stanje okolnih objekata, infrastrukture, instalacija, vegetacije i ostalih specifičnih karakteristika lokacije (npr. vodeni tokovi i sl.) prije početka radova.
Drugi dio EOD se sastoji od elaborata završnog stanja koji se predaje nakon izvođenja radova, a kojim je obuhvaćeno stanje okolnih objekata, infrastrukture, instalacija, vegetacije i ostalih specifičnih karakteristika lokacije (npr. vodeni tokovi i sl.) nakon izvođenja radova.
U stavci je sadržan video snimak visoke razlučivosti šireg pojasa trase (najmanje 10 m lijevo i 10 m desno) snimljen odgovarajućom brzinom kako bi na snimci bili vidljivi svi detalji te fotografije svih postojećih oštećenja. Cijenom je obuhvaćen i elaborat postojećeg i završnog stanja svih privremenih pozicija koje se koriste prilikom građenja (privremene deponije, pozicije kontejnera i sl.). Vidljiva oštećenja koja nisu obuhvaćena elaboratom smatrat će se da su nastala prilikom radova. Datum izrade snimaka i dostave elaborata evidentirati u građevinski dnevnik.
Jedinična cijena stavke uključuje sve potrebne terenske i uredske radove za izradu elaborata u 2 (dva) primjerka na CD-u.
Obračun po komadu.</t>
    </r>
  </si>
  <si>
    <r>
      <t xml:space="preserve">Izrada fotodokumentacije karakterističnih detalja </t>
    </r>
    <r>
      <rPr>
        <sz val="11"/>
        <rFont val="Arial"/>
        <family val="2"/>
        <charset val="238"/>
      </rPr>
      <t>na trasi koji se ruše/obnavljaju prilikom izvođenja radova ili specifičnih detalja izvedbe na samom cjevovodu.
Fotodokumentaciju je potrebno izraditi na trasi cjevovoda uz okućnice, potporne ili ogradne zidove, suhozide, križanja s postojećim instalacijama, te izvedbu prelaganja istih.
Stavka se izvodi za vrijeme trajanja gradilišta.
Obračun po komadu.</t>
    </r>
  </si>
  <si>
    <t>€</t>
  </si>
  <si>
    <r>
      <t xml:space="preserve">Prije početka zemljanih radova u suradnji s nadležnim institucijama </t>
    </r>
    <r>
      <rPr>
        <b/>
        <sz val="11"/>
        <rFont val="Arial"/>
        <family val="2"/>
        <charset val="238"/>
      </rPr>
      <t>utvrditi poznate dubine i pozicije svih postojećih ukopanih instalacija</t>
    </r>
    <r>
      <rPr>
        <sz val="11"/>
        <rFont val="Arial"/>
        <family val="2"/>
        <charset val="238"/>
      </rPr>
      <t>, te označiti njihove trase na terenu duž čitavog koridora prolaza projektiranih cjevovoda.
O početku radova izvijestiti nadležne službe i dogovoriti način izvođenja radova da ne dođe do njihovog oštećenja.
Nakon obilježavanja instalacija potrebno je u dogovoru s nadležnim društvom, u čijem su vlasništvu nadležne instalacije, izvršiti eventualne korekcije trasa projektiranih cjevovoda i definirati mjere zaštite instalacija, te eventualna potrebna prelaganja.
Navedeni dogovori trebaju se zapisnički potvrditi od strane nadležnih društava, nadzornog inženjera i izvođača. Potrebno je obaviti zapisničku primopredaju označenih instalacija na terenu, te prijedloge rješenja za eventualna potrebna prelaganja.</t>
    </r>
  </si>
  <si>
    <t>Obračun po m' trase.</t>
  </si>
  <si>
    <r>
      <rPr>
        <b/>
        <sz val="11"/>
        <rFont val="Arial"/>
        <family val="2"/>
        <charset val="238"/>
      </rPr>
      <t>Planiranje dna rova</t>
    </r>
    <r>
      <rPr>
        <sz val="11"/>
        <rFont val="Arial"/>
        <family val="2"/>
        <charset val="238"/>
      </rPr>
      <t xml:space="preserve"> križevima između dva vertikalna loma s točnošću ± 3 cm. Sva eventualna udubljenja potrebno je ispuniti kamenom sitneži krupnoće zrna do 8 mm promjera, te strojno nabiti, a sve na teret izvođača.
Planiranje dna jama na mjestima okana također je obuhvaćeno ovom stavkom.
Jedinična cijena stavke uključuje sav potreban rad, materijal, pomoćna sredstva i transporte za kompletnu izvedbu stavke.
Obračun po m².</t>
    </r>
  </si>
  <si>
    <t>11.1.</t>
  </si>
  <si>
    <t>11.2.</t>
  </si>
  <si>
    <t>Dobava ploče</t>
  </si>
  <si>
    <t>kom</t>
  </si>
  <si>
    <t>×</t>
  </si>
  <si>
    <t>postavljanje (preseljenje) ploče</t>
  </si>
  <si>
    <t>DN 625, dubine do 2,0 m</t>
  </si>
  <si>
    <r>
      <rPr>
        <b/>
        <sz val="11"/>
        <rFont val="Arial"/>
        <family val="2"/>
        <charset val="238"/>
      </rPr>
      <t xml:space="preserve">Izrada elaborata katastra infrastrukture </t>
    </r>
    <r>
      <rPr>
        <sz val="11"/>
        <rFont val="Arial"/>
        <family val="2"/>
        <charset val="238"/>
      </rPr>
      <t>u skladu s važećim propisima. Jedinična cijena stavke uključuje sve potrebne terenske i uredske radove, te materijale za izradu kompletnih elaborata katastra infrastrukture. Predati kao digitalnu geodetsku snimku u dwg formatu na CD-u uz 3 (tri) primjerka uvezanog elaborata, sve prije ishođenja Potvrde o završetku radova. Ovaj elaborat uključuje i snimak crpnih stanica.
Obračun po m' cjevovoda.</t>
    </r>
  </si>
  <si>
    <r>
      <rPr>
        <b/>
        <sz val="11"/>
        <rFont val="Arial"/>
        <family val="2"/>
        <charset val="238"/>
      </rPr>
      <t>Izrada projekta izvedenog stanja</t>
    </r>
    <r>
      <rPr>
        <sz val="11"/>
        <rFont val="Arial"/>
        <family val="2"/>
        <charset val="238"/>
      </rPr>
      <t xml:space="preserve"> koji u sebi sadržava elemente geodetskog snimka za katastar, a prilagođen je traženoj formi Investitora. Napomena: U ovoj stavci koristiti elemente geodetskog snimke te ga uklopiti u projekt izvedenog stanja. Projekt izvedenog stanja mora obuhvatiti sve izmjene i dopune na građevini koje su se desile tijekom gradnje u odnosu na Glavni i Izvedbeni projekt, zatim situacijski plan trase cjevovoda i objekata u mj. 1:1000 (ili prikladno mjerilo katastra), zatim sve izvedene trase cjevovoda (gravitacijski cjevovodi i priključci) u vidu uzdužnih profila (kote nivelete i terena, dna rova, položaj i dubina cijevi te okana te položaj i skicu lomnih točaka kolektora), poprečnih presjeka, izvedbenih detalja i radioničkih nacrta sa svim objektima na mreži uz opis svih parametara i funkcije izvedenih vodova prema Glavnom i Izvedbenom projektu.</t>
    </r>
  </si>
  <si>
    <t>Jedinična cijena stavke uključuje sve potrebne terenske i uredske radove za izradu projekta u minimalno 3 (četiri) uvezana primjeraka i 1 (jedan) primjerak na digitalnom mediju, a sve prije ishođenja Potvrde o završetku radova. 
Obračun po komadu.</t>
  </si>
  <si>
    <t>III)</t>
  </si>
  <si>
    <t>ZAJEDNIČKI PRIPREMNI RADOVI</t>
  </si>
  <si>
    <t>ZAJEDNIČKI PRIPREMNI RADOVI UKUPNO:</t>
  </si>
  <si>
    <t>ZAJEDNIČKI ZEMLJANI RADOVI</t>
  </si>
  <si>
    <t>ZAJEDNIČKI ZEMLJANI RADOVI UKUPNO:</t>
  </si>
  <si>
    <t>ukupna duljina gravitacijskih fekalnih kolektora:</t>
  </si>
  <si>
    <t>ukupna duljina vodovodnih cjevovoda:</t>
  </si>
  <si>
    <r>
      <rPr>
        <b/>
        <sz val="11"/>
        <rFont val="Arial"/>
        <family val="2"/>
        <charset val="238"/>
      </rPr>
      <t>Postava zaštitne ograde</t>
    </r>
    <r>
      <rPr>
        <sz val="11"/>
        <rFont val="Arial"/>
        <family val="2"/>
        <charset val="238"/>
      </rPr>
      <t xml:space="preserve"> po potrebi s jedne ili s obje strane rova duž čitave trase u skladu s propisima zaštite na radu.
Zaštitna ograda mora biti u svemu u skladu sa važećim pravilnicima i propisima, odnosno postojećom zakonskom regulativom.
U cijeni stavke obuhvaćeni su svi potrebni radovi, pomoćna sredstva i transporti za izvedbu ograde te sva ostala osiguranja gradilišta prema propisima zaštite na radu.
Obračun po m' trase.</t>
    </r>
  </si>
  <si>
    <r>
      <rPr>
        <b/>
        <sz val="11"/>
        <rFont val="Arial"/>
        <family val="2"/>
        <charset val="238"/>
      </rPr>
      <t>Zarezivanje postojećeg asfalta</t>
    </r>
    <r>
      <rPr>
        <sz val="11"/>
        <rFont val="Arial"/>
        <family val="2"/>
        <charset val="238"/>
      </rPr>
      <t xml:space="preserve"> bez obzira na debljinu sloja. Zarezivanje asfalta potrebno je prije početka iskopa s obje strane rova projektiranih cjevovoda.
Jedinična cijena stavke uključuje sav potreban rad, materijal, pomoćna sredstva i transporte za kompletnu izvedbu stavke.
Obračun po m' trase, a </t>
    </r>
    <r>
      <rPr>
        <u/>
        <sz val="11"/>
        <rFont val="Arial"/>
        <family val="2"/>
        <charset val="238"/>
      </rPr>
      <t>cijenom obuhvatiti potreban broj zarezivanja.</t>
    </r>
  </si>
  <si>
    <r>
      <rPr>
        <b/>
        <sz val="11"/>
        <rFont val="Arial"/>
        <family val="2"/>
        <charset val="238"/>
      </rPr>
      <t>Kombinirani strojno-ručni iskop rova</t>
    </r>
    <r>
      <rPr>
        <sz val="11"/>
        <rFont val="Arial"/>
        <family val="2"/>
        <charset val="238"/>
      </rPr>
      <t xml:space="preserve"> za polaganje cjevovoda bez obzira na kategoriju terena. Dubina, širina iskopa i pokos stranica prema uzdužnom profilu i detalju rova.
Sva proširenja kao i produbljenja rova veća od dokaznice mjera neće se priznavati već ju je izvođač dužan ukalkulirati u jediničnu cijenu. To se odnosi i na obračun zatrpavanja i odvoza materijala.
Sva produbljenja rova veća od projektiranog izvođač će sanirati na način da se izvrši nasipavanje s kamenom sitneži krupnoće zrna do 8 mm promjera i sve strojno nabije, a sve na teret izvođača.
Proširenja i produbljenja rova na mjestima okana također su obuhvaćena ovom stavkom.
Oko postojećih instalacija, u blizini gdje je okolni teren nestabilan, a tlo rahlo iskop vršiti vrlo oprezno, ručno što je uključeno u cijenu stavke. Na mjestima gdje cjevovod prolazi blizu suhozida iskop također vršiti pažljivo.</t>
    </r>
  </si>
  <si>
    <t>VODOVOD</t>
  </si>
  <si>
    <t>12.1.</t>
  </si>
  <si>
    <t>12.2.</t>
  </si>
  <si>
    <t>13.</t>
  </si>
  <si>
    <t>Križanje sa postojećim elektroničkim komunikacijskim vodovima</t>
  </si>
  <si>
    <t>Paralelno vođenje sa postojećim elektroničkim komunikacijskim vodovima</t>
  </si>
  <si>
    <r>
      <rPr>
        <b/>
        <sz val="11"/>
        <rFont val="Arial"/>
        <family val="2"/>
        <charset val="238"/>
      </rPr>
      <t>Radovi na izmještanju postojećih instalacija</t>
    </r>
    <r>
      <rPr>
        <sz val="11"/>
        <rFont val="Arial"/>
        <family val="2"/>
        <charset val="238"/>
      </rPr>
      <t xml:space="preserve">
Izmještanje postojećih instalacija na dionicama gdje se ustanovi da dolaze u koliziju sa trasama projektiranih cjevovoda. Izmještanje instalacije izvesti prema uvjetima i uputama te uz suglasnost ovlaštenih predstavnika vlasnika instalacije i nadzorne službe. Rekonstrukcija se vrši u dogovoru sa vlasnikom instalacije i uz suglasnost nadzornog inženjera.
Stavkom obuhvaćena demontaža postojećih instalacija, skladištenje, transport, ponovna montaža postojećih instalacija te dobava i doprema materijala i spajanje izmijenjenih i izmještenih instalacija u funkcionalni instalacijski sustav, kao i izrada geodetskog elaborata izmještenih instalacija sa elementima geodetskog snimka za katastar instalacija, sve prema zahtjevima vlasnika instalacija.
Obavezno je osigurati funkcioniranje sustava instalacija.
Jedinična cijena stavke uključuje sve potrebne radove, materijale, sredstva i sve troškove vlasnika instalacija za njihovo osiguranje.
Obračun po m' uredno izmještenih funkcionalnih instalacija.</t>
    </r>
  </si>
  <si>
    <t>Dno rova vodovodnog cjevovoda i hidrantskog priključnog voda + dno jame na mjestu okna</t>
  </si>
  <si>
    <t>Iz iskaza masa (volumen pješčane posteljice)</t>
  </si>
  <si>
    <t>Iz iskaza masa (volumen pijeska)</t>
  </si>
  <si>
    <t>Iz iskaza masa (volumen pješčane posteljice) + dodatno za hidrante</t>
  </si>
  <si>
    <t>Iz iskaza masa (volumen pijeska) + dodatno za hidrante</t>
  </si>
  <si>
    <t>Iz iskaza masa (volumen zamjenskog materijala)</t>
  </si>
  <si>
    <t>Iz iskaza masa (volumen zamjenskog materijala) + dodatno zatrpavanje oko okana i hidranata</t>
  </si>
  <si>
    <t>IV)</t>
  </si>
  <si>
    <t>Sveukupan iskop × 1,35</t>
  </si>
  <si>
    <t>Površina asfaltiranja prometnice izvan obračunskog rova × 20%</t>
  </si>
  <si>
    <t>2.1.1.</t>
  </si>
  <si>
    <t>2.1.2.</t>
  </si>
  <si>
    <t>2.1.3.</t>
  </si>
  <si>
    <t>2.1.4.</t>
  </si>
  <si>
    <t>2.1.5.</t>
  </si>
  <si>
    <t>2.1.6.</t>
  </si>
  <si>
    <t>2.1.7.</t>
  </si>
  <si>
    <t xml:space="preserve"> ×</t>
  </si>
  <si>
    <t>2.1.8.</t>
  </si>
  <si>
    <t>2.1.9.</t>
  </si>
  <si>
    <t>2.1.10.</t>
  </si>
  <si>
    <t>2.1.11.</t>
  </si>
  <si>
    <t>2.1.12.</t>
  </si>
  <si>
    <t>2.1.13.</t>
  </si>
  <si>
    <t>2.1.14.</t>
  </si>
  <si>
    <t>2.1.15.</t>
  </si>
  <si>
    <t>2.2.</t>
  </si>
  <si>
    <t>2.2.1.</t>
  </si>
  <si>
    <t>2.2.3.</t>
  </si>
  <si>
    <t>2.2.4.</t>
  </si>
  <si>
    <t>2.2.2.</t>
  </si>
  <si>
    <t>ZAJEDNIČKI OSTALI RADOVI</t>
  </si>
  <si>
    <t>ZAJEDNIČKI OSTALI RADOVI UKUPNO:</t>
  </si>
  <si>
    <r>
      <rPr>
        <b/>
        <sz val="11"/>
        <rFont val="Arial"/>
        <family val="2"/>
        <charset val="238"/>
      </rPr>
      <t>Čelična ploča za prijelaz vozila</t>
    </r>
    <r>
      <rPr>
        <sz val="11"/>
        <rFont val="Arial"/>
        <family val="2"/>
        <charset val="238"/>
      </rPr>
      <t xml:space="preserve">
Dobava čeličnih ploča širine min. 2,5 m za prijelaz vozila preko iskopanog rova za vrijeme izvođenja radova.
Potrebna je dobaviti ploču koju se može koristiti višekratno, što znači po završetku određene dionice planirana je njihova demontaža, preseljenje na novu lokaciju i ponovna montaža.
Ploču je potrebno osigurati i na prilazima objektima koji imaju vlastite parkirališne površine. 
Jedinična cijena stavka uključuje sve potrebne radove, materijale, pomoćna sredstva i transporte za kompletnu izvedbu stavke.
Obračun po komadu dobavljene i postavljene čelične ploče.</t>
    </r>
  </si>
  <si>
    <r>
      <rPr>
        <b/>
        <sz val="11"/>
        <rFont val="Arial"/>
        <family val="2"/>
        <charset val="238"/>
      </rPr>
      <t xml:space="preserve">Osiguranje postojećih elektroničkih komunikacijskih vodova. </t>
    </r>
    <r>
      <rPr>
        <sz val="11"/>
        <rFont val="Arial"/>
        <family val="2"/>
        <charset val="238"/>
      </rPr>
      <t>Na mjestima križanja vertikalna udaljenost kabela i vodovodnog cjevovoda iznosi min. 0,50 m za kabel bez zaštitne cijevi, odnosno 0,30 m uz uvjet da je kabel položen u zaštitnu cijev. Stavkom su obuhvaćene zaštitne polucijevi od tvrdog PVC-a (DN 110 mm ili DN 160 mm) duljine 2,00 m za jedno križanje, kao i dobava i ugradnja pijeska u zaštitne polucijevi zajedno s kabelom.</t>
    </r>
  </si>
  <si>
    <r>
      <rPr>
        <b/>
        <sz val="11"/>
        <rFont val="Arial"/>
        <family val="2"/>
        <charset val="238"/>
      </rPr>
      <t>Iskolčenje trasa cjevovoda</t>
    </r>
    <r>
      <rPr>
        <sz val="11"/>
        <rFont val="Arial"/>
        <family val="2"/>
        <charset val="238"/>
      </rPr>
      <t xml:space="preserve"> prije početka zemljanih radova prema Izvedbenom projektu. Iskolčenje građevine mora obaviti ovlaštena osoba za obavljanje poslova državne izmjere katastra nekretnina prema Zakonu o obavljanju geodetske djelatnosti NN 25/18). Na terenu je potrebno po Izvedbenom projektu iskolčiti građevinu prije početka zemljanih radova s izbacivanjem pomoćnih točaka izvan područja iskopa, stacioniranjem istih i obilježavanjem visina, te kontrolom visina tijekom izgradnje.
Jedinična cijena stavke uključuje sve neophodne terenske i uredske poslove za kompletnu provedbu radova.
Obračun po m' iskolčene trase.</t>
    </r>
  </si>
  <si>
    <t>- Srednjeg glatkog valjkastog dijela varijabilne visine (za okna DN 625 ujedno i gornji dio) koji se sastoji od prstena visine 25 cm (za okna DN 625) odnosno prstenovima visine 50 cm i 75 cm (za okna DN 800) s brtvama za međusobno spajanje, koji se može bušiti radi izvedbe priključka "na licu mjesta". Priključak na okno se izvodi direktnim spojem cijevi i okna. Brtva spajanja cijevi i okna mora biti identična brtvi kojom se spaja cijev u dnu okna.
- Kod kaskadnih okana spajanje kanalizacijskih cijevi se vrši na terenu bušenjem tijela okna krunskim svrdlom i umetanjem brtve za spoj cijevi na PE okno.
-  Okno veličine DN 800 i 1000 ima i gornji konusni dio izlazne dimenzije DN 625, iznad kojeg se ugrađuje poklopac. Konusni dio okna mora imati mogućnost smanjivanja visine na gradilištu do 250 mm.
Svi priključni kolektori i kućni priključci koji se spajaju u dno okna moraju biti tvornički izvedeni u kineti okna. Svi dijelovi okna moraju biti izrađeni od istovrsnog materijala, a međusobno se spajaju s brtvama. Materijal brtve mora biti izveden po EN 681-1 ili jednakovrijedno, EN 681-2 ili jednakovrijedno,  EN 681-3 ili jednakovrijedno ili EN 681-4 ili jednakovrijedno.
Ponuditelj je uz ponudu dužan priložiti slijedeće:
- ISO 9001 certifikat proizvođača okana
- izjavu o sukladnosti prema EN 13598-2 ili jednakovrijedno izdanu od strane proizvođača okana
- ovlaštenje od strane ovlaštene kuće u RH da je okno u skladu s normom EN 13598-2 ili jednakovrijedno te da proizvođač može dati izjavu o sukladnosti.</t>
  </si>
  <si>
    <t>Okna isporučivati u komadu.
Okna postaviti na prethodno pripremljenu pješčanu posteljicu i poravnati u horizontalnom i vertikalnom smislu. Spajanje cijevi s oknima izvršiti prema uputstvu proizvođača.
Izvedba priključaka ulaznih cijevi na tijelo PE okna sa dopremom s odlagališta gradilišta do mjesta ugradnje i ugradnjom odgovarajuće ulazne brtve je uključena u jediničnu cijenu stavke. 
Jedinična cijena stavke uključuje sav potreban rad, materijal i transporte za kompletnu izvedbu stavke. 
Obračun po komadu dobavljenog i ugrađenog okna.</t>
  </si>
  <si>
    <t>Kinetu izraditi od betona C25/30 u pravilnom hidrauličkom obliku. Površinu kinete obraditi cementnim mortom omjera 1:2, debljine 2 cm, zagladiti do crnog sjaja. Kineta unutar okna mora imati uzdužni nagib kao i ostali dio trase.
Dubina kinete mora iznositi 2/3 promjera cijevi, a minimalna visina od dna okna 5 cm.
Dobava, doprema, izrada, montiranje i skidanje glatke oplate.
Unutarnje površine dna i zidova okna obraditi brzovezućim kitom, zapunjavanjem rupa u betonu do postizanja vodonepropusnosti, te gletanjem istom vodonepropusnom masom, do visine pokrovne ploče, u dva sloja, u svemu prema uputama Proizvođača.
Dobava, doprema, izrada, montiranje te skidanje oplate.</t>
  </si>
  <si>
    <t>Izrada okvira poklopca visine 40 cm od betona C25/30 s ugradnjom potrebne armature i ankera od nehrđajućeg čelika Ø 12 sa navojem (4 kom po oknu) i 2 x matica M12 s podloškom (8 po oknu), sve za kompletnu montažu poklopca i sve prema detalju iz projekta.
Ugradnja lijevano željeznog poklopca Ø 600 mm sa kvadratnim okvirom i okruglim poklopcem, nosivosti 250 kN.
U jediničnoj cijeni stavke obuhvaćeni su svi potrebni materijali, radovi, pomoćna sredstva i transport za kompletnu izvedbu.
Obračun po komadu.</t>
  </si>
  <si>
    <t>Dobaviti 5% više cijevi radi eventualnog oštećenja i krojenja cijevi.
Uz cijevi nabaviti i dopremiti odgovarajuće spojnice i sav potreban brtveni materijal, kao i spojnice za spajanje na okna glavnog kolektora i okna kućnog priključka, te potrebne alate za montažu cijevi prema uputama Proizvođača.
Obračunata kompletna izrada svih spojeva kanalizacijskih cijevi pomoću odgovarajućih spojnica ovisno o načinu spajanja, u svemu prema uputama Proizvođača.
Uključeno je rezanje cijevi, čišćenje spojnih mjesta, priprema i postava brtvi, navlačenje spojnica i sve ostalo.
Stavkom je obuhvaćen i transport cijevi i spojnica od  gradilišne deponije do položaja za montažu duž rova, spuštanje na pripremljenu posteljicu, poravnavanje po pravcu i niveleti uz kontrolu geodetskim instrumentom, te pripomoći pri montaži.
Obračun po m' dobavljene i montirane cijevi, komplet sa odgovarajućim spojnicama.</t>
  </si>
  <si>
    <r>
      <t>DN 80</t>
    </r>
    <r>
      <rPr>
        <sz val="11"/>
        <color rgb="FFFF0000"/>
        <rFont val="Arial"/>
        <family val="2"/>
        <charset val="238"/>
      </rPr>
      <t/>
    </r>
  </si>
  <si>
    <t>1.2.</t>
  </si>
  <si>
    <r>
      <t>DN 100</t>
    </r>
    <r>
      <rPr>
        <sz val="11"/>
        <color rgb="FFFF0000"/>
        <rFont val="Arial"/>
        <family val="2"/>
        <charset val="238"/>
      </rPr>
      <t/>
    </r>
  </si>
  <si>
    <t>2.2.5.</t>
  </si>
  <si>
    <t>2.2.6.</t>
  </si>
  <si>
    <t>DN 100</t>
  </si>
  <si>
    <t>ZAJEDNIČKI RADOVI</t>
  </si>
  <si>
    <t>FEKALNA KANALIZACIJA</t>
  </si>
  <si>
    <t>OBORINSKA KANALIZACIJA</t>
  </si>
  <si>
    <t>- vodovodni cjevovod:</t>
  </si>
  <si>
    <t>- gravitacijski fekalni kolektor:</t>
  </si>
  <si>
    <t>DN 250</t>
  </si>
  <si>
    <t>- gravitacijski oborinski kolektor:</t>
  </si>
  <si>
    <t>OK-1:</t>
  </si>
  <si>
    <t>ukupna duljina gravitacijskih oborinskih kolektora:</t>
  </si>
  <si>
    <t>3.1.1.</t>
  </si>
  <si>
    <t>3.1.2.</t>
  </si>
  <si>
    <t>Prema raspoloživim informacijama vlasnika instalacija na trasi projektiranih cjevovoda se nalaze slijedeće instalacije:
- elektronički kamunikacijski vodovi,
- vodovod.</t>
  </si>
  <si>
    <t>3.2.</t>
  </si>
  <si>
    <t>3.2.1.</t>
  </si>
  <si>
    <t>Za vodovodne cijevi uzima se oko 1 (jedan) metar cijevi na kojoj je vidljiva oznaka proizvođača i vrsta cijevi. Za lijevano željezne fazonske komade i armature uzima se jedan komad (slučajan uzorak) i ispituje se nazivni tlak te druge karakteristike koje su definirane normom HRN EN 545 ili jednakovrijedno, projektnom dokumentacijom i dekleracijom proizvođača u prvom redu vanjska i unutrašnja zaštita. Za sve ostale proizvode ako postoji potreba ispituju se karakteristike definirane projektnom dokumentacijom i dekleracijom proizvođača.</t>
  </si>
  <si>
    <t>Vanjski promjer stremena  treba biti 112-120 mm, min. mase 1,28 kg.
Namjena uporabe: Pitka voda
'- Kuglasti ventil s punim protokom Ø 1”, PN - 40 ili jednakovrijedno, komada 2
Namjena upotrebe: pitka voda. Kuglasti ventil sa punim protokom treba biti ojačan i minimalni radni pritisak do 25 bara (PN 25). Minimalna masa do 0,625 kg, minimalna ugradbena mjera do 80 mm.</t>
  </si>
  <si>
    <t>Dno rova</t>
  </si>
  <si>
    <t>Spojnica za ubetoniravanje DN 250</t>
  </si>
  <si>
    <t>V)</t>
  </si>
  <si>
    <t>DN 400</t>
  </si>
  <si>
    <r>
      <t xml:space="preserve">NAPOMENA:
</t>
    </r>
    <r>
      <rPr>
        <i/>
        <sz val="10"/>
        <rFont val="Arial"/>
        <family val="2"/>
        <charset val="238"/>
      </rPr>
      <t>Vodovodni, fekalni i oborinski cjevovod se polažu paralelno u duljini od oko 186 m' pa su pojedini radovi u putpunosti ili djelomično obuhvaćeni zajedničkim stavkama.</t>
    </r>
  </si>
  <si>
    <r>
      <rPr>
        <b/>
        <sz val="11"/>
        <rFont val="Arial"/>
        <family val="2"/>
        <charset val="238"/>
      </rPr>
      <t>Izrada geodetskog elaborata iskolčenja</t>
    </r>
    <r>
      <rPr>
        <sz val="11"/>
        <rFont val="Arial"/>
        <family val="2"/>
        <charset val="238"/>
      </rPr>
      <t xml:space="preserve">. Elaborat je obavezno po </t>
    </r>
    <r>
      <rPr>
        <i/>
        <sz val="11"/>
        <rFont val="Arial"/>
        <family val="2"/>
        <charset val="238"/>
      </rPr>
      <t>Zakonu o gradnji (NN 153/13, 20/17, 39/19,125/19 i 145/24)</t>
    </r>
    <r>
      <rPr>
        <sz val="11"/>
        <rFont val="Arial"/>
        <family val="2"/>
        <charset val="238"/>
      </rPr>
      <t xml:space="preserve"> imati na gradilištu prilikom izvođenja radova.
Elaborat će sadržavati iskolčenje za 254 m' trase vodovodnog cjevovoda, 184 m' trase fekalnog kolektora i 186 m' trase oborinskog kolektora.
Jedinična cijena stavke uključuje sve neophodne terenske i uredske radove za izradu elaborata u minimalno 3 (tri) uvezana primjerka i 1 (jedan) primjerak na digitalnom mediju.
Obračun po komadu.</t>
    </r>
  </si>
  <si>
    <r>
      <rPr>
        <b/>
        <sz val="11"/>
        <rFont val="Arial"/>
        <family val="2"/>
        <charset val="238"/>
      </rPr>
      <t>Izrada Izvedbenog projekta</t>
    </r>
    <r>
      <rPr>
        <sz val="11"/>
        <rFont val="Arial"/>
        <family val="2"/>
        <charset val="238"/>
      </rPr>
      <t xml:space="preserve"> prema Glavnom projektu</t>
    </r>
    <r>
      <rPr>
        <i/>
        <sz val="11"/>
        <rFont val="Arial"/>
        <family val="2"/>
        <charset val="238"/>
      </rPr>
      <t xml:space="preserve"> Vodovodni ogranak i kanalizacijska mreža u Banjolu, Vatrogasni dom-Brni,</t>
    </r>
    <r>
      <rPr>
        <sz val="11"/>
        <rFont val="Arial"/>
        <family val="2"/>
        <charset val="238"/>
      </rPr>
      <t xml:space="preserve"> izrađen po FLUM-ING d.o.o. Rijeka, travanj 2025., zajednička oznaka projekta: FL 198625. Projekt je obavezno po </t>
    </r>
    <r>
      <rPr>
        <i/>
        <sz val="11"/>
        <rFont val="Arial"/>
        <family val="2"/>
        <charset val="238"/>
      </rPr>
      <t>Zakonu o gradnji (NN 153/13, 20/17, 39/19, 125/19 i 145/24)</t>
    </r>
    <r>
      <rPr>
        <sz val="11"/>
        <rFont val="Arial"/>
        <family val="2"/>
        <charset val="238"/>
      </rPr>
      <t xml:space="preserve"> imati na gradilištu prilikom izvođenja radova.
Jedinična cijena stavke uključuje sve potrebne terenske i uredske radove za izradu projekta u minimalno 4 (četiri) uvezana primjeraka i 1 (jedan) primjerak na digitalnom mediju.
Obračun po komadu.</t>
    </r>
  </si>
  <si>
    <r>
      <t>Ishođenje suglasnosti dozvole za prekop javne površine</t>
    </r>
    <r>
      <rPr>
        <sz val="11"/>
        <rFont val="Arial"/>
        <family val="2"/>
        <charset val="238"/>
      </rPr>
      <t xml:space="preserve"> na osnovu elaborata prometnog rješenja, dinamičkog plana, građevinske dozvole i glavnog projekta.
Izvođač treba ishoditi dozvolu za prekop javne površine od nadležnog upravitelja prometnice (Grad) na kojoj se izvode radovi, te podmiriti naknade za izdavanje istih.
Ukupna duljina trasa koje prolaze po prometnicama oko 254 m'.
Obračun po komadu.</t>
    </r>
  </si>
  <si>
    <r>
      <t xml:space="preserve">Dobava i doprema na privremeno odlagalište gradilišta, doprema s odlagališta gradilišta, spuštanje u rov, te kompletna ugradnja </t>
    </r>
    <r>
      <rPr>
        <b/>
        <sz val="11"/>
        <rFont val="Arial"/>
        <family val="2"/>
        <charset val="238"/>
      </rPr>
      <t>duktilnih lijevano željeznih vodovodnih cijevi</t>
    </r>
    <r>
      <rPr>
        <sz val="11"/>
        <rFont val="Arial"/>
        <family val="2"/>
        <charset val="238"/>
      </rPr>
      <t xml:space="preserve"> HRN EN 545 ili jednakovrijedno, sljedećih karakteristika:
a) klasa C 40
b) spoj na naglavak
c) pojedinačna duljina cijevi 6 metara
d) pojedinačno ispitane na radni pritisak do maks. 40 bara
e) unutarnja zaštita: cementirano (ISO 4179 ili jednakovrijedno)
f) vanjska zaštita: od legure cink-aluminij u omjeru 85% Zn - 15% Al, pocinčano min. 400 gr/m² (ISO 8179 ili jednakovrijedno), epoxi plavo obojene (HRN EN 545 ili jednakovrijedno).
Uvjete koje, prema tehničkim specifikacijama, mora ispunjavati vodovodni materijal iz ove stavke dokazuju se sljedećim dokumentima:
a) Certifikat za gumene brtve za spoj na naglavak
b) Certifikat za unutarnju zaštitu
c) Certifikat za vanjsku zaštitu iz koje je jasno vidljiva debljina i sastav zaštite,
d) dokaz o trajnoj učinkovitosti vanjske obloge legure Zn-Al,
e) dokaz da je voda korištena u procesu proizvodnje unutarnje zaštite od cementnog morta zdrava i u skladu s europskom smjernicom 98/83/CE,
f) Certifikat o stalnosti svojstava i/ili Izjava o svojstvima,
g) Analitičko izvješće Zavoda za javno zdravstvo ili drugog ovlaštenog laboratorija o zdravstvenoj ispravnosti materijala  koji dolaze u neposredni dodir s vodom (cijevi, brtve, mast).</t>
    </r>
  </si>
  <si>
    <r>
      <rPr>
        <b/>
        <sz val="11"/>
        <rFont val="Arial"/>
        <family val="2"/>
        <charset val="238"/>
      </rPr>
      <t>MMK 11° DN 100</t>
    </r>
    <r>
      <rPr>
        <sz val="11"/>
        <rFont val="Arial"/>
        <family val="2"/>
        <charset val="238"/>
      </rPr>
      <t xml:space="preserve"> (poz. MMK1)</t>
    </r>
  </si>
  <si>
    <r>
      <t xml:space="preserve">Ponuditelj može ponuditi samo jednakovrijedni proizvod.
</t>
    </r>
    <r>
      <rPr>
        <b/>
        <sz val="11"/>
        <rFont val="Arial"/>
        <family val="2"/>
        <charset val="238"/>
      </rPr>
      <t>Ponuđeni proizvod:</t>
    </r>
    <r>
      <rPr>
        <sz val="11"/>
        <rFont val="Arial"/>
        <family val="2"/>
        <charset val="238"/>
      </rPr>
      <t xml:space="preserve">
Vrsta materijala:_______________________
Proizvođač:___________________________
Zemlja porijekla:_______________________</t>
    </r>
  </si>
  <si>
    <r>
      <rPr>
        <b/>
        <sz val="11"/>
        <rFont val="Arial"/>
        <family val="2"/>
        <charset val="238"/>
      </rPr>
      <t>MMK 22° DN 100</t>
    </r>
    <r>
      <rPr>
        <sz val="11"/>
        <rFont val="Arial"/>
        <family val="2"/>
        <charset val="238"/>
      </rPr>
      <t xml:space="preserve"> (poz. MMK2)</t>
    </r>
  </si>
  <si>
    <r>
      <rPr>
        <b/>
        <sz val="11"/>
        <rFont val="Arial"/>
        <family val="2"/>
        <charset val="238"/>
      </rPr>
      <t>MMK 45° DN 100 mm</t>
    </r>
    <r>
      <rPr>
        <sz val="11"/>
        <rFont val="Arial"/>
        <family val="2"/>
        <charset val="238"/>
      </rPr>
      <t xml:space="preserve"> (poz. MMK3)</t>
    </r>
  </si>
  <si>
    <r>
      <rPr>
        <b/>
        <sz val="11"/>
        <rFont val="Arial"/>
        <family val="2"/>
        <charset val="238"/>
      </rPr>
      <t>EU DN 80 mm</t>
    </r>
    <r>
      <rPr>
        <sz val="11"/>
        <rFont val="Arial"/>
        <family val="2"/>
        <charset val="238"/>
      </rPr>
      <t xml:space="preserve"> (poz. EU1)</t>
    </r>
  </si>
  <si>
    <r>
      <rPr>
        <b/>
        <sz val="11"/>
        <rFont val="Arial"/>
        <family val="2"/>
        <charset val="238"/>
      </rPr>
      <t>EU DN 100 mm</t>
    </r>
    <r>
      <rPr>
        <sz val="11"/>
        <rFont val="Arial"/>
        <family val="2"/>
        <charset val="238"/>
      </rPr>
      <t xml:space="preserve"> (poz. EU2)</t>
    </r>
  </si>
  <si>
    <r>
      <rPr>
        <b/>
        <sz val="11"/>
        <rFont val="Arial"/>
        <family val="2"/>
        <charset val="238"/>
      </rPr>
      <t>MMA DN 100/80</t>
    </r>
    <r>
      <rPr>
        <sz val="11"/>
        <rFont val="Arial"/>
        <family val="2"/>
        <charset val="238"/>
      </rPr>
      <t xml:space="preserve"> (poz. MMA1)</t>
    </r>
  </si>
  <si>
    <r>
      <rPr>
        <b/>
        <sz val="11"/>
        <rFont val="Arial"/>
        <family val="2"/>
        <charset val="238"/>
      </rPr>
      <t xml:space="preserve">FF DN 80, L= 300 mm </t>
    </r>
    <r>
      <rPr>
        <sz val="11"/>
        <rFont val="Arial"/>
        <family val="2"/>
        <charset val="238"/>
      </rPr>
      <t>(poz. FF1)</t>
    </r>
  </si>
  <si>
    <r>
      <rPr>
        <b/>
        <sz val="11"/>
        <rFont val="Arial"/>
        <family val="2"/>
        <charset val="238"/>
      </rPr>
      <t xml:space="preserve">FFK 45° DN 80, L= 800 mm </t>
    </r>
    <r>
      <rPr>
        <sz val="11"/>
        <rFont val="Arial"/>
        <family val="2"/>
        <charset val="238"/>
      </rPr>
      <t>(poz. FFK1)</t>
    </r>
  </si>
  <si>
    <r>
      <rPr>
        <b/>
        <sz val="11"/>
        <rFont val="Arial"/>
        <family val="2"/>
        <charset val="238"/>
      </rPr>
      <t xml:space="preserve">FFR DN 80/50 </t>
    </r>
    <r>
      <rPr>
        <sz val="11"/>
        <rFont val="Arial"/>
        <family val="2"/>
        <charset val="238"/>
      </rPr>
      <t>(poz. FFR1)</t>
    </r>
  </si>
  <si>
    <r>
      <rPr>
        <b/>
        <sz val="11"/>
        <rFont val="Arial"/>
        <family val="2"/>
        <charset val="238"/>
      </rPr>
      <t xml:space="preserve">FFR DN 100/80 </t>
    </r>
    <r>
      <rPr>
        <sz val="11"/>
        <rFont val="Arial"/>
        <family val="2"/>
        <charset val="238"/>
      </rPr>
      <t>(poz. FFR2)</t>
    </r>
  </si>
  <si>
    <r>
      <rPr>
        <b/>
        <sz val="11"/>
        <rFont val="Arial"/>
        <family val="2"/>
        <charset val="238"/>
      </rPr>
      <t xml:space="preserve">N DN 80 </t>
    </r>
    <r>
      <rPr>
        <sz val="11"/>
        <rFont val="Arial"/>
        <family val="2"/>
        <charset val="238"/>
      </rPr>
      <t>(poz. N1)</t>
    </r>
  </si>
  <si>
    <t>2.1.16.</t>
  </si>
  <si>
    <t>2.1.17.</t>
  </si>
  <si>
    <t>2.1.18.</t>
  </si>
  <si>
    <t>2.1.19.</t>
  </si>
  <si>
    <r>
      <rPr>
        <b/>
        <sz val="11"/>
        <rFont val="Arial"/>
        <family val="2"/>
        <charset val="238"/>
      </rPr>
      <t xml:space="preserve">Q DN 50 </t>
    </r>
    <r>
      <rPr>
        <sz val="11"/>
        <rFont val="Arial"/>
        <family val="2"/>
        <charset val="238"/>
      </rPr>
      <t>(poz. Q1)</t>
    </r>
  </si>
  <si>
    <t>2.1.20.</t>
  </si>
  <si>
    <r>
      <rPr>
        <b/>
        <sz val="11"/>
        <rFont val="Arial"/>
        <family val="2"/>
        <charset val="238"/>
      </rPr>
      <t>X DN 100 bušen za 2''</t>
    </r>
    <r>
      <rPr>
        <sz val="11"/>
        <rFont val="Arial"/>
        <family val="2"/>
        <charset val="238"/>
      </rPr>
      <t xml:space="preserve"> (poz. X'1)</t>
    </r>
  </si>
  <si>
    <r>
      <rPr>
        <b/>
        <sz val="11"/>
        <rFont val="Arial"/>
        <family val="2"/>
        <charset val="238"/>
      </rPr>
      <t xml:space="preserve">Prirubnička spojnica sa prihvatom za PEHD cijev DN 50 
PS DN 50 </t>
    </r>
    <r>
      <rPr>
        <sz val="11"/>
        <rFont val="Arial"/>
        <family val="2"/>
        <charset val="238"/>
      </rPr>
      <t>(poz. PS-P1)</t>
    </r>
  </si>
  <si>
    <r>
      <rPr>
        <b/>
        <sz val="11"/>
        <rFont val="Arial"/>
        <family val="2"/>
        <charset val="238"/>
      </rPr>
      <t xml:space="preserve">Prirubnička spojnica sa prihvatom za PEHD cijev DN 90 
PS DN 80 </t>
    </r>
    <r>
      <rPr>
        <sz val="11"/>
        <rFont val="Arial"/>
        <family val="2"/>
        <charset val="238"/>
      </rPr>
      <t>(poz. PS-P2)</t>
    </r>
  </si>
  <si>
    <r>
      <rPr>
        <b/>
        <sz val="11"/>
        <rFont val="Arial"/>
        <family val="2"/>
        <charset val="238"/>
      </rPr>
      <t>Tlačno ispitivanje</t>
    </r>
    <r>
      <rPr>
        <sz val="11"/>
        <rFont val="Arial"/>
        <family val="2"/>
        <charset val="238"/>
      </rPr>
      <t xml:space="preserve"> cjevovoda, po dionicama i skupno.
Obavljanje tlačne probe cjevovoda prema normi HRN EN 805 ili jednakovrijedan zajedno s montiranim ogrlicama.
Ispitivanja provesti u svemu prema opisu iz Programa kontrole i osiguranja kvalitete.
Jediničnim cijenom obuhvatiti i dobavu vode za sva ispitivanja, sve dok ispitivana dionica ne bude potpuno vodonepropusna.
Tlačnu probu potrebno je izvesti s montiranim hidrantima, ogrlicama i dijelom kućnog priključka do ventila, te sa otvorenim hidrantskim zasunima.
U cijenu su uključeni i diferencijalni FF čelični komadi duljine 500 mm, promjera ogranka mm. Diferencijalni FF komadi su sa blendom u sredini i priključcima 2" i 3/4" koji omogućuje razdvajanje izgrađenih dionica i onih u izgradnji. Nakon kompletne izvedbe vodovoda diferencijalni komadi se zamjenjuju FFG komadima iste duljine, čija je dobava obuhvaćena ovom stavkom. Predviđaju se dvije tlačne probe.</t>
    </r>
  </si>
  <si>
    <r>
      <rPr>
        <b/>
        <sz val="11"/>
        <rFont val="Arial"/>
        <family val="2"/>
        <charset val="238"/>
      </rPr>
      <t>Iskolčenje trasa cjevovoda</t>
    </r>
    <r>
      <rPr>
        <sz val="11"/>
        <rFont val="Arial"/>
        <family val="2"/>
        <charset val="238"/>
      </rPr>
      <t xml:space="preserve"> prije početka zemljanih radova prema Izvedbenom projektu. Iskolčenje građevine mora obaviti ovlaštena osoba za obavljanje poslova državne izmjere katastra nekretina prema Zakonu o obavljanju geodetske djelatnosti NN 25/18). Na terenu je potrebno po Izvedbenom projektu iskolčiti građevinu prije početka zemljanih radova s izbacivanjem pomoćnih točaka izvan područja iskopa, stacioniranjem istih i obilježavanjem visina, te kontrolom visina tijekom izgradnje.
Jedinična cijena stavke uključuje sve neophodne terenske i uredske poslove za kompletnu provedbu radova.
Obračun po m' iskolčene trase.</t>
    </r>
  </si>
  <si>
    <r>
      <rPr>
        <b/>
        <sz val="11"/>
        <rFont val="Arial"/>
        <family val="2"/>
        <charset val="238"/>
      </rPr>
      <t xml:space="preserve">Izrada stabilizacije cestovne (ulične) kape </t>
    </r>
    <r>
      <rPr>
        <sz val="11"/>
        <rFont val="Arial"/>
        <family val="2"/>
        <charset val="238"/>
      </rPr>
      <t>za zasune s ugradbenom garniturom i podzemne odzrake.
Stavkom je obuhvaćena doprema sa odlagališta gradilišta i ugradnja cestovne kape.
U cijenu uračunati dobavu, dopremu i ugradnju betona C16/20, potrebnu oplatu, sav potreban rad, materijal, pomoćna sredstva i transporte za izvedbu stavke.
Obračun po komadu.</t>
    </r>
  </si>
  <si>
    <r>
      <t xml:space="preserve">Dobava i doprema na privremeno odlagalište gradilišta, doprema s odlagališta gradilišta do mjesta ugradnje i ugradnja </t>
    </r>
    <r>
      <rPr>
        <b/>
        <sz val="11"/>
        <rFont val="Arial"/>
        <family val="2"/>
        <charset val="238"/>
      </rPr>
      <t>trake upozorenja iznad vodovodnih</t>
    </r>
    <r>
      <rPr>
        <sz val="11"/>
        <rFont val="Arial"/>
        <family val="2"/>
        <charset val="238"/>
      </rPr>
      <t xml:space="preserve"> </t>
    </r>
    <r>
      <rPr>
        <b/>
        <sz val="11"/>
        <rFont val="Arial"/>
        <family val="2"/>
        <charset val="238"/>
      </rPr>
      <t>cijevi.</t>
    </r>
    <r>
      <rPr>
        <sz val="11"/>
        <rFont val="Arial"/>
        <family val="2"/>
        <charset val="238"/>
      </rPr>
      <t xml:space="preserve">
Obračun po m' dobavljenog i ugrađenog štitnika.</t>
    </r>
  </si>
  <si>
    <r>
      <t xml:space="preserve">Izvedba </t>
    </r>
    <r>
      <rPr>
        <b/>
        <sz val="11"/>
        <rFont val="Arial"/>
        <family val="2"/>
        <charset val="238"/>
      </rPr>
      <t>ispiranja i dezinfekcije cjevovoda</t>
    </r>
    <r>
      <rPr>
        <sz val="11"/>
        <rFont val="Arial"/>
        <family val="2"/>
        <charset val="238"/>
      </rPr>
      <t xml:space="preserve"> prije puštanja u upotrebu. Dezinfekcija cjevovoda potrebno je izvršiti prema važećim propisima i od strane ovlaštene osobe.
Voda za dezinfekciju zadržava se u cjevovodima 24 sata, nakon toga se cjevovod ispire trostrukom količinom vode i pristupa se ispitivanju zdravstvene ispravnosti vode.
U cijeni je uključena pozitivne bakteriološke analize vode od Zavoda za zaštitu zdravlja.
Postupak se ponavlja dok god se ne dobije pismeni nalaz od nadležne institucije da voda odgovara standardima za pitku vodu.
U cijeni stavke obračunata je potrebna količina vode, sredstvo za dezinfekciju, te sav potreban rad i materijal.
Obračun po m' izvršenog ispiranja i dezinfekcije.</t>
    </r>
  </si>
  <si>
    <r>
      <rPr>
        <b/>
        <sz val="11"/>
        <rFont val="Arial"/>
        <family val="2"/>
        <charset val="238"/>
      </rPr>
      <t>Ispitivanje pritiska i protočnosti hidranata.</t>
    </r>
    <r>
      <rPr>
        <sz val="11"/>
        <rFont val="Arial"/>
        <family val="2"/>
        <charset val="238"/>
      </rPr>
      <t xml:space="preserve">
Kompletno ispitivanje funkcionalnosti nadzemnih i protupožarnih hidranata DN 80 mm, od strane Ovlaštene institucije.
Ispitivanje obuhvaća ispitivanje pritiska i protočnosti na priključcima hidranta. Uključen je priključni vod DN 80 mm, od priključka na glavni cjevovod.
Ispitivanje se vrši od strane ovlaštene institucije koja po ispitivanju izdaje atest ili Izvješće o ispitivanju ovlaštene institucije.
Stavka obuhvaća sve potrebne radove, pomoćna sredstva, uključujući i potrebnu količinu vode koju je potrebno previdjeti zajedno sa hidrantskim priključkom i vodomjerom i ostalo za kompletnu izvedbu stavke.
Obračun po komadu ispitanog hidranta s priključkom i izdanom atestu.</t>
    </r>
  </si>
  <si>
    <r>
      <rPr>
        <b/>
        <sz val="11"/>
        <rFont val="Arial"/>
        <family val="2"/>
        <charset val="238"/>
      </rPr>
      <t xml:space="preserve">Eliptični zasun sa ručnim kolom DN 50 </t>
    </r>
    <r>
      <rPr>
        <sz val="11"/>
        <rFont val="Arial"/>
        <family val="2"/>
        <charset val="238"/>
      </rPr>
      <t>(poz. Z1)</t>
    </r>
  </si>
  <si>
    <r>
      <rPr>
        <b/>
        <sz val="11"/>
        <rFont val="Arial"/>
        <family val="2"/>
        <charset val="238"/>
      </rPr>
      <t xml:space="preserve">Odzračno-dozračni ventil na navoj DN 50 </t>
    </r>
    <r>
      <rPr>
        <sz val="11"/>
        <rFont val="Arial"/>
        <family val="2"/>
        <charset val="238"/>
      </rPr>
      <t>(poz. OV1)</t>
    </r>
  </si>
  <si>
    <r>
      <rPr>
        <b/>
        <sz val="11"/>
        <rFont val="Arial"/>
        <family val="2"/>
        <charset val="238"/>
      </rPr>
      <t xml:space="preserve">Odzračno-dozračni ventil na prirubnicu DN 50 </t>
    </r>
    <r>
      <rPr>
        <sz val="11"/>
        <rFont val="Arial"/>
        <family val="2"/>
        <charset val="238"/>
      </rPr>
      <t>(poz. OV2)</t>
    </r>
  </si>
  <si>
    <r>
      <t xml:space="preserve">Dobava, doprema, isporuka i istovar na odlagalište gradilišta, doprema s odlagališta gradilišta do mjesta ugradnje i ugradnja svih </t>
    </r>
    <r>
      <rPr>
        <b/>
        <sz val="11"/>
        <rFont val="Arial"/>
        <family val="2"/>
        <charset val="238"/>
      </rPr>
      <t>fazonskih komada i vodovodnih armatura od nodularnog lijeva PN16</t>
    </r>
    <r>
      <rPr>
        <sz val="11"/>
        <rFont val="Arial"/>
        <family val="2"/>
        <charset val="238"/>
      </rPr>
      <t xml:space="preserve"> za cjevovod i objekte na njemu, prema monterskim planovima i priloženoj specifikaciji.
</t>
    </r>
    <r>
      <rPr>
        <b/>
        <sz val="11"/>
        <rFont val="Arial"/>
        <family val="2"/>
        <charset val="238"/>
      </rPr>
      <t>Fazonski komadi</t>
    </r>
    <r>
      <rPr>
        <sz val="11"/>
        <rFont val="Arial"/>
        <family val="2"/>
        <charset val="238"/>
      </rPr>
      <t xml:space="preserve"> sukladno normama HRN EN 545 ili jednakovrijedno.
Fazonski komadi su iznutra zaštićeni epoksidnim premazom prema DIN 3476 ili jednakovrijedno, a izvana epoksidnim premazom prema DIN 30677-2 ili jednakovrijedno.
Sve prirubnice PN16 prema standardu EN 1092-2 ili jednakovrijedno. Za druge PN standard je posebno naveden.
Za spoj naglavkom potrebna je odgovarajuća brtva, sa brtvenom površinom C prema HRN EN 681 ili jednakovrijedno.
Za zaštitu spojeva dobaviti odgovarajuće materijale za izolaciju.
</t>
    </r>
    <r>
      <rPr>
        <b/>
        <sz val="11"/>
        <rFont val="Arial"/>
        <family val="2"/>
        <charset val="238"/>
      </rPr>
      <t>Armature</t>
    </r>
    <r>
      <rPr>
        <sz val="11"/>
        <rFont val="Arial"/>
        <family val="2"/>
        <charset val="238"/>
      </rPr>
      <t xml:space="preserve"> sukladno normama HRN EN 1074 ili jednakovrijedno.
Armature su iznutra i izvana zaštićene epoksidnim premazom.
Sve prirubnice su PN16 prema standardu EN 1092-2 ili jednakovrijedno. Za druge PN standard je posebno naveden.
Uz specificirane armature koje se spajaju pomoću prirubnica dobaviti potreban broj nehrđajućih vijaka s maticom odgovarajuće veličine i odgovarajuće brtve za prirubnice.
Ugradbene duljine zasuna odrediti prema standardu EN 558/1 RED.4 HRN EN 558 ili jednakovrijedno.</t>
    </r>
  </si>
  <si>
    <t>2.2.7.</t>
  </si>
  <si>
    <r>
      <rPr>
        <b/>
        <sz val="11"/>
        <rFont val="Arial"/>
        <family val="2"/>
        <charset val="238"/>
      </rPr>
      <t>Kuglasti ventil DN 50 mm</t>
    </r>
    <r>
      <rPr>
        <sz val="11"/>
        <rFont val="Arial"/>
        <family val="2"/>
        <charset val="238"/>
      </rPr>
      <t>, sa unutarnjim navojima prema DIN EN ISO 228 ili jednakovrijedno za min. PN 16 bara. (poz. KV2)</t>
    </r>
  </si>
  <si>
    <r>
      <t xml:space="preserve">Dobava, doprema, isporuka i istovar na odlagalište gradilišta, doprema s odlagališta gradilišta do mjesta ugradnje i ugradnja </t>
    </r>
    <r>
      <rPr>
        <b/>
        <sz val="11"/>
        <rFont val="Arial"/>
        <family val="2"/>
        <charset val="238"/>
      </rPr>
      <t>kuglastog ventila na navoj od mesinga</t>
    </r>
    <r>
      <rPr>
        <sz val="11"/>
        <rFont val="Arial"/>
        <family val="2"/>
        <charset val="238"/>
      </rPr>
      <t>.
U jediničnoj cijeni stavke obuhvaćeni su svi potrebni materijali, radovi, pomoćna sredstva i transporti potrebni za izvršenje stavke.
Obračun po komadu dobavljenog i ugrađenog ventila.</t>
    </r>
  </si>
  <si>
    <r>
      <t xml:space="preserve">Dobava, prijevoz, isporuka i istovar na odlagalište gradilišta, </t>
    </r>
    <r>
      <rPr>
        <b/>
        <sz val="11"/>
        <rFont val="Arial"/>
        <family val="2"/>
        <charset val="238"/>
      </rPr>
      <t>lijevano-željeznog poklopca od nodularnog lijeva</t>
    </r>
    <r>
      <rPr>
        <sz val="11"/>
        <rFont val="Arial"/>
        <family val="2"/>
        <charset val="238"/>
      </rPr>
      <t xml:space="preserve"> za vodovodno okno, minimalnog svjetlog otvora 800×800 mm, nosivosti 400 kN.
Poklopac mora zadovoljiti HRN EN 124 ili jednakovrijedno.
Poklopac se sastoji od kvadratnog ugradnog okvira, s kvadratnim poklopcem i dvije upuštene ručke za podizanje poklopca i s natpisom VODOVOD.
Također poklopci na prometnim površinama moraju imati ugrađene amortizere protiv udara.
Minimalna visina okvira, h</t>
    </r>
    <r>
      <rPr>
        <vertAlign val="subscript"/>
        <sz val="11"/>
        <rFont val="Arial"/>
        <family val="2"/>
        <charset val="238"/>
      </rPr>
      <t>min</t>
    </r>
    <r>
      <rPr>
        <sz val="11"/>
        <rFont val="Arial"/>
        <family val="2"/>
        <charset val="238"/>
      </rPr>
      <t>, ovisno o nosivosti.
Obračun po komadu.</t>
    </r>
  </si>
  <si>
    <r>
      <rPr>
        <b/>
        <sz val="11"/>
        <rFont val="Arial"/>
        <family val="2"/>
        <charset val="238"/>
      </rPr>
      <t>Klasa D400</t>
    </r>
    <r>
      <rPr>
        <sz val="11"/>
        <rFont val="Arial"/>
        <family val="2"/>
        <charset val="238"/>
      </rPr>
      <t xml:space="preserve"> (nosivosti 400 kN)</t>
    </r>
  </si>
  <si>
    <r>
      <t xml:space="preserve">Dobava, doprema, isporuka i istovar na odlagalište gradilišta, doprema s odlagališta gradilišta do mjesta ugradnje i ugradnja </t>
    </r>
    <r>
      <rPr>
        <b/>
        <sz val="11"/>
        <rFont val="Arial"/>
        <family val="2"/>
        <charset val="238"/>
      </rPr>
      <t>sidrene brtve sa zubima od nehrđajućeg čelika.</t>
    </r>
    <r>
      <rPr>
        <sz val="11"/>
        <rFont val="Arial"/>
        <family val="2"/>
        <charset val="238"/>
      </rPr>
      <t xml:space="preserve">
Brtva za sidrenje je gumena brtva s ugrađenim zupcima od nehrđajućeg čelika. Prema veličini gumenog prstena, određeni broj zubaca od nehrđajućeg čelika je raspoređen u brtvi. Zubi od nehrđajućeg čelika će čvrsto zagristi utičnicu kako bi spriječili odvajanje cjevovoda.
Brtva se ugrađuje na svim horizontalnim i vertikalnim lomovima cjevovoda većim od 5</t>
    </r>
    <r>
      <rPr>
        <sz val="11"/>
        <rFont val="Calibri"/>
        <family val="2"/>
        <charset val="238"/>
      </rPr>
      <t>°</t>
    </r>
    <r>
      <rPr>
        <sz val="11"/>
        <rFont val="Arial"/>
        <family val="2"/>
        <charset val="238"/>
      </rPr>
      <t xml:space="preserve"> i služi kao zamjena za sidrene blokove.
Obračun po komadu.</t>
    </r>
  </si>
  <si>
    <t>DN 80</t>
  </si>
  <si>
    <r>
      <t xml:space="preserve">Dobava, doprema, isporuka i istovar na odlagalište gradilišta, doprema s odlagališta gradilišta do mjesta ugradnje i ugradnja </t>
    </r>
    <r>
      <rPr>
        <b/>
        <sz val="11"/>
        <rFont val="Arial"/>
        <family val="2"/>
        <charset val="238"/>
      </rPr>
      <t>klinaste prirubničke brtve</t>
    </r>
    <r>
      <rPr>
        <sz val="11"/>
        <rFont val="Arial"/>
        <family val="2"/>
        <charset val="238"/>
      </rPr>
      <t xml:space="preserve"> na poziciji ispod nadzemnog hidranta.</t>
    </r>
    <r>
      <rPr>
        <b/>
        <sz val="11"/>
        <rFont val="Arial"/>
        <family val="2"/>
        <charset val="238"/>
      </rPr>
      <t xml:space="preserve">
</t>
    </r>
    <r>
      <rPr>
        <sz val="11"/>
        <rFont val="Arial"/>
        <family val="2"/>
        <charset val="238"/>
      </rPr>
      <t>Obračun po komadu.</t>
    </r>
  </si>
  <si>
    <r>
      <rPr>
        <b/>
        <u/>
        <sz val="11"/>
        <rFont val="Arial"/>
        <family val="2"/>
        <charset val="238"/>
      </rPr>
      <t>NAPOMENA:</t>
    </r>
    <r>
      <rPr>
        <b/>
        <sz val="11"/>
        <rFont val="Arial"/>
        <family val="2"/>
        <charset val="238"/>
      </rPr>
      <t xml:space="preserve">
</t>
    </r>
    <r>
      <rPr>
        <sz val="11"/>
        <rFont val="Arial"/>
        <family val="2"/>
        <charset val="238"/>
      </rPr>
      <t>Prije narudžbe svog materijala za kućne priključke potrebno je izvršiti konzultacije s predstavnicima KD Vrelo d.o.o kako bi se odredio konačan broj priključaka i promjeri spojnih vodova.</t>
    </r>
  </si>
  <si>
    <r>
      <t xml:space="preserve">Pažljivi ručni iskop rova za produljenje/rekonstrukciju/novi priključni cjevovod, bez obzira na kategoriju tla s planiranjem dna rova.
Iskop se obavlja na javnoj površini, na mjestu koje odredi služba Vrelo d.o.o.
Uključen je iskop jame za novo vodomjerno okno kompletno novih priključaka.
Predviđen je rov širine 0,6 m, maksimalne dubine do 1,0 m i prosječne duljine 5,0 m.
Sva eventualna oštećenja nastala uslijed neprimjenjenje zaštite i nestručnog rada, snosit će izvođač radova.
Predviđeno je vertikalno zasjecanje stranica iskopa. Neravnine iskopa, nagib stranica iskopa i druge nepravilnosti moraju se ukalkulirati u jedniničnu cijenu stavke.
U jediničnoj cijeni uključiti sve zaštitne i sigurnosne mjere, a posebno u naseljima, na prometnici i sl.
Uključena su sva potrebna produbljenja i proširenja rova za okna (iskop za okno 1,5×1,5×0,8).
Stavkom je uključen utovar, odvoz i zbrinjavanje nastalog građevnog otpada sukladno </t>
    </r>
    <r>
      <rPr>
        <i/>
        <sz val="11"/>
        <rFont val="Arial"/>
        <family val="2"/>
        <charset val="238"/>
      </rPr>
      <t>Zakonu o gospodarenju otpadom (NN 84/21, 142/23)</t>
    </r>
    <r>
      <rPr>
        <sz val="11"/>
        <rFont val="Arial"/>
        <family val="2"/>
        <charset val="238"/>
      </rPr>
      <t xml:space="preserve"> na najbližem reciklažnom dvorištu za građevni otpad bez obzira na udaljenost transporta.
Investitor nije u obavezi osigurati deponiju materijala.
Jediničnom cijenom obuhvaćen je sav potreban rad i materijal.
Obračun po m³ iskopanog materijala u sraslom stanju, prema idealnom presjeku.</t>
    </r>
  </si>
  <si>
    <r>
      <t xml:space="preserve">Kompletna izvedba standardnog </t>
    </r>
    <r>
      <rPr>
        <b/>
        <sz val="11"/>
        <rFont val="Arial"/>
        <family val="2"/>
        <charset val="238"/>
      </rPr>
      <t>vodomjernog okna za 1 vodomjer</t>
    </r>
    <r>
      <rPr>
        <sz val="11"/>
        <rFont val="Arial"/>
        <family val="2"/>
        <charset val="238"/>
      </rPr>
      <t xml:space="preserve">, u svemu prema standardima Vrelo d.o.o.
Unutarnje tlocrtne dimenzije 60 × 60 cm i ukupne prosječne visine 80 cm, a sve prema detalju u izvedbenoj dokumentaciji.
Stavka uključuje dobavu i dopremu svih potrebnih materijala i opreme, potrebne radove, betonirske, zidarske, tesarske, ugradbu opreme i dr.
</t>
    </r>
    <r>
      <rPr>
        <u/>
        <sz val="11"/>
        <rFont val="Arial"/>
        <family val="2"/>
        <charset val="238"/>
      </rPr>
      <t>Radovi i materijali za izvedbu okna:</t>
    </r>
    <r>
      <rPr>
        <sz val="11"/>
        <rFont val="Arial"/>
        <family val="2"/>
        <charset val="238"/>
      </rPr>
      <t xml:space="preserve">
Betoniranje dna betonom C 16/20, debljine 20 cm.
Zidanje zidova okna od pune opeke, debljine 12 cm, cementnim mortom.
Potrebni sitni zidarsko-zanatski radovi i pripomoći oko završetka okna i ugradnje vodovodne opreme.
</t>
    </r>
    <r>
      <rPr>
        <u/>
        <sz val="11"/>
        <rFont val="Arial"/>
        <family val="2"/>
        <charset val="238"/>
      </rPr>
      <t>Prosječne količine materijala za 1 okno:</t>
    </r>
    <r>
      <rPr>
        <sz val="11"/>
        <rFont val="Arial"/>
        <family val="2"/>
        <charset val="238"/>
      </rPr>
      <t xml:space="preserve">
- beton C 16/20 za dno (0,20 m³)
- puna opeka za zidove, s cem. mortom za zidanje (0,30 m³)
- beton za ugradnju i izvedbu gornje ploče C 16/20, s oplatom (0,10 m³)
- rebrasta armatura B500B (40,00 kg)
Obračun po komadu.</t>
    </r>
  </si>
  <si>
    <r>
      <t xml:space="preserve">Dobava, doprema do odlagališta gradilišta, transport od odlagališta gradilišta do mjesta ugradnje te kompletna montaža </t>
    </r>
    <r>
      <rPr>
        <b/>
        <sz val="11"/>
        <rFont val="Arial"/>
        <family val="2"/>
        <charset val="238"/>
      </rPr>
      <t>priključne cijevi, svih fazonskih komada, armatura i svog ostalog materijala potrebnog za izvedbu jednog vodovodnog kućnog priključka</t>
    </r>
    <r>
      <rPr>
        <sz val="11"/>
        <rFont val="Arial"/>
        <family val="2"/>
        <charset val="238"/>
      </rPr>
      <t xml:space="preserve"> na vodovodnom cjevovodu od nodularnog lijeva.</t>
    </r>
  </si>
  <si>
    <r>
      <t xml:space="preserve">Kuglasti ventil sa punim protokom treba biti ispitan na pritisak od 63 bara. Kućište kuglastog ventila sa punim protokom treba biti izrađeno iz prešanog mesinga MS 58 prema normi DIN 17660 ili jednakovrijedno.
Kugla kuglastog ventila sa punim protokom treba biti izrađena od prešanog mesinga MS 58 prema normi DIN 17672 ilil jednakovrijedno. Brtvilo kugle kuglastog ventila sa punim protokom treba biti od teflona oznake PTFE.
Brtvilo poluge kuglastog ventila sa punim protokom treba biti kao O - prsten iz NBR materijala prema normi DIN 3771 ili jednakovrijedno. Ručica kuglastog ventila sa punim protokom treba biti izrađena od silumina T.AISI 12 prema normi DIN 1725 ili jedankovrijedno.
Svi navojni priključci trebaju biti izrađeni za cijevne spojeve prema ISO 228 ili jednakovrijedno.
- </t>
    </r>
    <r>
      <rPr>
        <b/>
        <sz val="11"/>
        <rFont val="Arial"/>
        <family val="2"/>
        <charset val="238"/>
      </rPr>
      <t>pocinčana cijev Ø 1"</t>
    </r>
    <r>
      <rPr>
        <sz val="11"/>
        <rFont val="Arial"/>
        <family val="2"/>
        <charset val="238"/>
      </rPr>
      <t xml:space="preserve">, prosječne duljine 5,0 m
- </t>
    </r>
    <r>
      <rPr>
        <b/>
        <sz val="11"/>
        <rFont val="Arial"/>
        <family val="2"/>
        <charset val="238"/>
      </rPr>
      <t>2 spojnice</t>
    </r>
    <r>
      <rPr>
        <sz val="11"/>
        <rFont val="Arial"/>
        <family val="2"/>
        <charset val="238"/>
      </rPr>
      <t xml:space="preserve"> (1 duga = 6,8 cm i 1 kratka = 4,0 cm) s redukcijom
- </t>
    </r>
    <r>
      <rPr>
        <b/>
        <sz val="11"/>
        <rFont val="Arial"/>
        <family val="2"/>
        <charset val="238"/>
      </rPr>
      <t>redukcija Ø 1/1/2" x 1"</t>
    </r>
    <r>
      <rPr>
        <sz val="11"/>
        <rFont val="Arial"/>
        <family val="2"/>
        <charset val="238"/>
      </rPr>
      <t xml:space="preserve">
- </t>
    </r>
    <r>
      <rPr>
        <b/>
        <sz val="11"/>
        <rFont val="Arial"/>
        <family val="2"/>
        <charset val="238"/>
      </rPr>
      <t>sitni vodovodni materijal</t>
    </r>
    <r>
      <rPr>
        <sz val="11"/>
        <rFont val="Arial"/>
        <family val="2"/>
        <charset val="238"/>
      </rPr>
      <t xml:space="preserve"> (brtve, spojnice, spojni pribor i sl.)
- </t>
    </r>
    <r>
      <rPr>
        <b/>
        <sz val="11"/>
        <rFont val="Arial"/>
        <family val="2"/>
        <charset val="238"/>
      </rPr>
      <t>dekorodal traka</t>
    </r>
    <r>
      <rPr>
        <sz val="11"/>
        <rFont val="Arial"/>
        <family val="2"/>
        <charset val="238"/>
      </rPr>
      <t xml:space="preserve"> (2 koluta/5 m cijevi)
- </t>
    </r>
    <r>
      <rPr>
        <b/>
        <sz val="11"/>
        <rFont val="Arial"/>
        <family val="2"/>
        <charset val="238"/>
      </rPr>
      <t>2 stand. kuglasta ventila</t>
    </r>
    <r>
      <rPr>
        <sz val="11"/>
        <rFont val="Arial"/>
        <family val="2"/>
        <charset val="238"/>
      </rPr>
      <t xml:space="preserve">, s ručkom, ispred i iza vodomjera
- </t>
    </r>
    <r>
      <rPr>
        <b/>
        <sz val="11"/>
        <rFont val="Arial"/>
        <family val="2"/>
        <charset val="238"/>
      </rPr>
      <t>6 koljena Ø 1"</t>
    </r>
    <r>
      <rPr>
        <sz val="11"/>
        <rFont val="Arial"/>
        <family val="2"/>
        <charset val="238"/>
      </rPr>
      <t xml:space="preserve">
- </t>
    </r>
    <r>
      <rPr>
        <b/>
        <sz val="11"/>
        <rFont val="Arial"/>
        <family val="2"/>
        <charset val="238"/>
      </rPr>
      <t>4 nipela Ø 1"</t>
    </r>
    <r>
      <rPr>
        <sz val="11"/>
        <rFont val="Arial"/>
        <family val="2"/>
        <charset val="238"/>
      </rPr>
      <t xml:space="preserve">
Jedinična cijena uključuje sav potreban rad, materijal i transporte za izvedbu opisanog rada.
Obračun po komadu.</t>
    </r>
  </si>
  <si>
    <t>Stavka se odnosi na nova vodomjerna okna.
Materijali i oprema potrebni za jedan priključak, prosječne duljine 5,0 m:
- Ogrlica za cijevi od nodularnog lijeva DN 100 × 1 1/2", NP-10
Ogrlica za cijevi od nodularnog lijeva treba se sastojati od dva dijela:
1) Univerzalna obujmica sa navojem za ubušivanje pod tlakom
Univerzalna obujmica treba biti izrađena od nodularnog lijeva kvalitete GGG 40 ili jednakovrijedno, zaštićena epoksi (EWS) premazom i priključnim navojem.
Univerzalna obujmica treba se izrađivati za cijevi od nodularnog lijeva.
Maksimalni radni tlak treba biti 16 bara (NP-16).
2) Stremen (držač) za univerzalnu obujmicu od DN 100 mm
Stremen (držač) za univerzalnu obujmicu treba biti izrađen od nehrđajućeg čelika potpuno vulkaniziran.
Navojni klin treba biti od nehrđajućeg čelika.
Matica navojnog klina treba biti od nehrđajućeg čelika prema DIN 934 normi ili jednakovrijedno.</t>
  </si>
  <si>
    <r>
      <rPr>
        <b/>
        <sz val="11"/>
        <rFont val="Arial"/>
        <family val="2"/>
        <charset val="238"/>
      </rPr>
      <t>Priprema za dezinfekciju</t>
    </r>
    <r>
      <rPr>
        <sz val="11"/>
        <rFont val="Arial"/>
        <family val="2"/>
        <charset val="238"/>
      </rPr>
      <t xml:space="preserve"> cjevovoda sukladno Uputama za dezinfekciju koje su sastavni dio glavnog projekta.
Cijenom stavke su obuhvaćeni svi potrebni radovi i materijali (spoj vatrogasnog crijeva, te mogućnost spoja hidrantskog nastavka od 2" za ulaz i izlaz), pomagala i transporti za kompletnu izvedbu rada.
Ukupna duljina cjevovoda za dezinfekciju, zajedno sa hidrantima i spojnim vodovima za kućne priključke (prosječna duljina 5,0 m) je:
- za V-1: 254+15,0 + 19×5,0 m = 364,0 m
Obračun po komadu.</t>
    </r>
  </si>
  <si>
    <r>
      <t xml:space="preserve">Dobava, doprema i izrada </t>
    </r>
    <r>
      <rPr>
        <b/>
        <sz val="11"/>
        <rFont val="Arial"/>
        <family val="2"/>
        <charset val="238"/>
      </rPr>
      <t>pješčane posteljice i pješčane obloge cijevi</t>
    </r>
    <r>
      <rPr>
        <sz val="11"/>
        <rFont val="Arial"/>
        <family val="2"/>
        <charset val="238"/>
      </rPr>
      <t>.
Izrada posteljice cijevi kućnog priključka, debljine 10 cm ispod cijevi, te obloge bočno i 25 cm iznad tjemena cijevi sa odgovarajućim ručnim i strojnim zbijanjem.
Posteljica i obloga će se izvesti od pijeska veličine zrna 4-8 mm. Najprije izvesti donji dio, tako da cijev naliježe 90°, te potom zatrpavanje 25 cm iznad tjemena cijevi pijeskom u slojevima.
Zbijanje posteljice izvoditi pažljivo, isključivo ručnim ili lakim strojnim nabijačima. Posebno dobro nabiti posteljicu bočno oko cijevi. Zbijenost gornje površine gotove posteljice min. 20 MN/m².</t>
    </r>
  </si>
  <si>
    <r>
      <t xml:space="preserve">Dobava, doprema i strojno zatrpavanje preostalog dijela rova </t>
    </r>
    <r>
      <rPr>
        <b/>
        <sz val="11"/>
        <rFont val="Arial"/>
        <family val="2"/>
        <charset val="238"/>
      </rPr>
      <t>zamjenskim materijalom (čisti kameni materijal) frakcije 0-63 mm</t>
    </r>
    <r>
      <rPr>
        <sz val="11"/>
        <rFont val="Arial"/>
        <family val="2"/>
        <charset val="238"/>
      </rPr>
      <t>, uz obavezno nabijanje materijala u slojevima. Zbijenost zamjenskog materijala na do modula stišljivosti min. Ms = 40 MN/m² na nerazvrstanim cestama, makadamu i betonu.
Obračun po m³ ugrađenog materijala u zbijenom stanju (koef. zbijenosti i koef. rastresitosti uračunati u jediničnu cijenu).</t>
    </r>
  </si>
  <si>
    <r>
      <rPr>
        <b/>
        <sz val="11"/>
        <rFont val="Arial"/>
        <family val="2"/>
        <charset val="238"/>
      </rPr>
      <t>Utovar, odvoz i odlaganje materijala</t>
    </r>
    <r>
      <rPr>
        <sz val="11"/>
        <rFont val="Arial"/>
        <family val="2"/>
        <charset val="238"/>
      </rPr>
      <t xml:space="preserve"> na reciklažno dvorište za građevni otpad koje osigurava Izvođač (bez obzira na udaljenost) te planiranje materijala na istoj, a sve sukladno Zakonu o održivom gospodarenju otpadom (NN 94/13, 73/17, 14/19, 98/19) te propisima koji uređuju održivo gospodarenje otpadom. Obračun vršen s koeficijentom rastresitosti 1,35.
Stavkom je obuhvaćena i eventualna cijena prihvata materijala na reciklažnom dvorištu za građevni otpad.
Jedinična cijena stavke uključuje sav potreban rad i transporte za kompletnu izvedbu stavke.
Prihvat na reciklažno dvorište će se obračunati prema ispostavljenom računu nadležne ustanove.
Obračun po m³ odvezenog materijala.</t>
    </r>
  </si>
  <si>
    <r>
      <rPr>
        <b/>
        <sz val="11"/>
        <rFont val="Arial"/>
        <family val="2"/>
        <charset val="238"/>
      </rPr>
      <t>Označivanje pozicija kućnih priključaka</t>
    </r>
    <r>
      <rPr>
        <sz val="11"/>
        <rFont val="Arial"/>
        <family val="2"/>
        <charset val="238"/>
      </rPr>
      <t xml:space="preserve"> koji se trebaju izvesti bojom na terenu. Pozicije će zajednički odrediti predstavnici Investitora i nadzorni inženjer, a u zajedničkom obilasku trase s izvođačem označiti ih na terenu. Izvođač radova je dužan osigurati vodootpornu boju.
Jedinična cijena stavke uključuje sve neophodne terenske i uredske poslove za kompletnu provedbu radova.
Obračun po komadu označenog priključka.</t>
    </r>
  </si>
  <si>
    <r>
      <rPr>
        <b/>
        <sz val="11"/>
        <rFont val="Arial"/>
        <family val="2"/>
        <charset val="238"/>
      </rPr>
      <t>Osiguranje postojećih elektroenergetskih kabela</t>
    </r>
    <r>
      <rPr>
        <sz val="11"/>
        <rFont val="Arial"/>
        <family val="2"/>
        <charset val="238"/>
      </rPr>
      <t>. Na mjestima križanja min. vertikalna udaljenost kabela i fekalnog kolektora iznosi min. 0,50 m za kabel bez zaštitne cijevi, odnosno 0,40 m uz uvjet da je kabel položen u zaštitnu cijev. Stavkom su obuhvaćene zaštitne polucijevi od tvrdog PVC-a (DN 110 mm ili DN 160 mm) duljine 3,00 m za jedno križanje, kao i dobava i ugradnja pijeska u zaštitne polucijevi zajedno s kabelom.</t>
    </r>
  </si>
  <si>
    <t>Križanje sa postojećim elektroenergetskim kabelima</t>
  </si>
  <si>
    <t>Paralelno vođenje sa postojećim elektroenergetskim kabelima</t>
  </si>
  <si>
    <t>3.2.2.</t>
  </si>
  <si>
    <r>
      <t xml:space="preserve">Betoniranje </t>
    </r>
    <r>
      <rPr>
        <b/>
        <sz val="11"/>
        <rFont val="Arial"/>
        <family val="2"/>
        <charset val="238"/>
      </rPr>
      <t>blokova za osiguranje vodovoda</t>
    </r>
    <r>
      <rPr>
        <sz val="11"/>
        <rFont val="Arial"/>
        <family val="2"/>
        <charset val="238"/>
      </rPr>
      <t xml:space="preserve"> na svim podnožjima hidranata (prosječno po bloku 0,10 m³).
Stavkom su obuhvaćeni i blokovi za tlačnu probu (prosječno po bloku 0,20 m³), kao i razbijanje istih i odvoz materijala na reciklažno dvorište za građevni materijal. Beton C16/20 ugraditi u iskopanu jamu u samom rovu. Veličina pojedinog bloka određena je statičkim proračunom. Izvedeno potpuno sa pripremanjem, prijenosom i ugradnjom materijala.
Jedinična cijena stavke uključuje potrebnu oplata, kao i gumirano platno potrebno za zaštitu samoga luka.
Obračun po komadu.</t>
    </r>
  </si>
  <si>
    <t>Stavkom je obuhvaćeno:
- dobava, doprema i ugradnja kamenog materijala frakcije 0-32 mm 
- dobava, izrada, postava i skidanje oplate zidova i armirano betonske pokrovne ploče,
- dobava, prijenos, ugradnja i njegovanje betona - prema TPGK,
- dobava i ugradnja armature  B 500B prema armaturnom planu,
- dobava, doprema i ugradnja tucanika frakcije 0-32 mm za procjeđivanje,
- dobava, doprema i ugradnja penjalica  min Ø16 mm, širine min. 400 mm; ugradnja 16 cm udaljeno od zida, na međusobnom vertikalnom razmaku od 30 cm (6 kom. po ulazu), te njihovo premazivanje u dva sloja temeljnim premazom i dva sloja uljanom bojom,
- doprema s odlagališta gradilišta i ugradnja poklopca od nodularnog lijeva poklopci svijetlih dimenzija 80×80 cm,
- izrada obostranog vodonepropusnog premaza zidova betonskih okana.</t>
  </si>
  <si>
    <r>
      <rPr>
        <b/>
        <sz val="11"/>
        <rFont val="Arial"/>
        <family val="2"/>
        <charset val="238"/>
      </rPr>
      <t>Betoniranje okana</t>
    </r>
    <r>
      <rPr>
        <sz val="11"/>
        <rFont val="Arial"/>
        <family val="2"/>
        <charset val="238"/>
      </rPr>
      <t xml:space="preserve">
Betoniranje zidova, pokrovne ploče i temeljne ploče okana betonom C25/30 razreda izloženosti XC1. Sva okna imaju debljinu zidova, te debljinu gornje i donje ploče 20 cm. U gornjoj ploči ostaviti otvor 80×80 cm zbog ulaza u okno i ugradnju poklopca. U temeljnoj ploči ostaviti otvor 50×50 cm za procjeđivanje vode.</t>
    </r>
  </si>
  <si>
    <t>Jedinična cijena stavke uključuje sve potrebne radove, materijale, pomoćna sredstva i transporte za kompletnu  izvedbu stavke. 
Obračun po kompletno izvedenom oknu.</t>
  </si>
  <si>
    <r>
      <t xml:space="preserve">Izrada </t>
    </r>
    <r>
      <rPr>
        <b/>
        <sz val="11"/>
        <rFont val="Arial"/>
        <family val="2"/>
        <charset val="238"/>
      </rPr>
      <t>betonskih postolja</t>
    </r>
    <r>
      <rPr>
        <sz val="11"/>
        <rFont val="Arial"/>
        <family val="2"/>
        <charset val="238"/>
      </rPr>
      <t xml:space="preserve"> ispod fazonskih komada i armatura betonom C16/20 unutar okana.
Stavkom je obuhvaćena i dobava, izrada, postava i skidanje potrebne oplate.
Jedinična cijena stavke uključuje sve potrebne radove, materijale, pomoćna sredstva i transporte za kompletnu izvedbu stavke.
Prosječno po postolju 0,50 m³
Obračun po komadu izrađenog postolja.</t>
    </r>
  </si>
  <si>
    <t>NERAZVRSTANA CESTA</t>
  </si>
  <si>
    <t>Uklanjanje neadekvatnog materijala ispod asfalta zajedno sa odvozom na reciklažno dvorište za građevni otpad te ugradnja odgovarajućeg kamenog materijala. Nosivi sloj se izvodi od mehanički stabiliziranog drobljenog kamenog materijala bez veziva (tampon) kao nosivi sloj podloge za asfaltni zastor, frakcije 0-32 mm. Kvalitetu stijenske mase treba dokazati atestom, ne starijim od godinu dana. Ugrađivanje i valjanje se vrši strojno sa izvođenjem pravilnog nagiba zbog oborinske odvodnje.
Pretpostavlja se potreba za izvođenjem novog nosivog sloja ceste (tampona) izvan obračunskog rova od 80%.
U širini predviđenog asfaltiranja izvan obračunskog rova predviđen je tampon debljine oko 10 cm.
Obračun po m³ uklonjenog i odvezenog materijala, te ugrađenog i uvaljanog tampona.</t>
  </si>
  <si>
    <t>(Površina asfaltiranja prometnice izvan obračunskog rova × 10 cm) × 80%</t>
  </si>
  <si>
    <t>ASFALTERSKI RADOVI</t>
  </si>
  <si>
    <t>ASFALTERSKI RADOVI UKUPNO:</t>
  </si>
  <si>
    <r>
      <rPr>
        <b/>
        <sz val="11"/>
        <rFont val="Arial"/>
        <family val="2"/>
        <charset val="238"/>
      </rPr>
      <t xml:space="preserve">Izrada asfaltnog zastora u jednom sloju.
</t>
    </r>
    <r>
      <rPr>
        <sz val="11"/>
        <rFont val="Arial"/>
        <family val="2"/>
        <charset val="238"/>
      </rPr>
      <t>Asfaltiranje nosivo-habajućeg sloja izvesti od asfaltne mase AC 16 surf 50/70 AG4 M4-E debljine 6 cm.
Asfaltni sloj nanosi se na prethodno zbijenu tamponsku podlogu debljine 25 cm. Prije nanošenja nosivo-habajućeg sloja asfalta, na površinama spajanja betonske stabilizacije s novim asfaltom potrebno je podlogu prskati asfaltnom emulzijom ili bitumenom u odgovarajućoj količini zavisno od primijenjenog sredstva.
Uključena je dobava materijala, te prijenos do mjesta ugradnje i ugradnja asfalta.
Obračun po m² asfaltnog zastora.</t>
    </r>
  </si>
  <si>
    <r>
      <t xml:space="preserve">Dobava, doprema i polaganje u rov </t>
    </r>
    <r>
      <rPr>
        <b/>
        <sz val="11"/>
        <rFont val="Arial"/>
        <family val="2"/>
        <charset val="238"/>
      </rPr>
      <t>tamponskog sloja frakcije 0-32 mm</t>
    </r>
    <r>
      <rPr>
        <sz val="11"/>
        <rFont val="Arial"/>
        <family val="2"/>
        <charset val="238"/>
      </rPr>
      <t>. 
Tampon se postavlja u sloju debljine:
- 25 cm u širini rova na mjestima gdje trasa prolazi po asfaltiranim prometnicama,
Zbijenost sloja tampona do modula stišljivosti min. Ms = 60 MN/m² za asfaltirane, nerazvrstane ceste, betonske prilaze i makadam.
Jedinična cijena stavke uključuje sav potreban rad, materijal i transporte za kompletnu izvedbu stavke.
Obračun po m³ ugrađenog materijala u zbijenom stanju (koef. zbijenosti i koef. rastresitosti uračunati u jediničnu cijenu).</t>
    </r>
  </si>
  <si>
    <r>
      <rPr>
        <b/>
        <sz val="11"/>
        <rFont val="Arial"/>
        <family val="2"/>
        <charset val="238"/>
      </rPr>
      <t>Kombinirano strojno-ručni iskop rova</t>
    </r>
    <r>
      <rPr>
        <sz val="11"/>
        <rFont val="Arial"/>
        <family val="2"/>
        <charset val="238"/>
      </rPr>
      <t xml:space="preserve"> za polaganje cjevovoda bez obzira na kategoriju terena. Dubina, širina iskopa i pokos stranica prema uzdužnom profilu i detalju rova.
Sva proširenja kao i produbljenja rova veća od dokaznice mjera neće se priznavati već ju je izvođač dužan ukalkulirati u jediničnu cijenu. To se odnosi i na obračun zatrpavanja i odvoza materijala.
Sva produbljenja rova veća od projektiranog izvođač će sanirati na način da se izvrši nasipavanje s kamenom sitneži krupnoće zrna do 8 mm promjera i sve strojno nabije, a sve na teret izvođača.
Proširenja i produbljenja rova na mjestima okana također su obuhvaćena ovom stavkom.
Oko postojećih instalacija, u blizini gdje je okolni teren nestabilan, a tlo rahlo iskop vršiti vrlo oprezno, ručno što je uključeno u cijenu stavke. Na mjestima gdje cjevovod prolazi blizu suhozida iskop također vršiti pažljivo.</t>
    </r>
  </si>
  <si>
    <t>Iz iskaza masa (volumen iskopa) + dodatna proširenja za hidrante + dodatna proširenja za okna</t>
  </si>
  <si>
    <t>(Tampon u cijeloj širini prometnice na dijelu zajedničkog rova × 0,25 m) + tampon iznad samostalnog rova vodovoda)</t>
  </si>
  <si>
    <r>
      <rPr>
        <b/>
        <sz val="11"/>
        <rFont val="Arial"/>
        <family val="2"/>
        <charset val="238"/>
      </rPr>
      <t>Priprema nosivog sloja ceste</t>
    </r>
    <r>
      <rPr>
        <sz val="11"/>
        <rFont val="Arial"/>
        <family val="2"/>
        <charset val="238"/>
      </rPr>
      <t xml:space="preserve"> nakon uklanjanja postojećeg asfalta izvan obračunskog rova u širini predviđenog asfaltiranja.
Zbijenost sloja tampona na asfaltiranim cestama do modula stišljivosti min. Ms = 60 MN/m² za nerazvrstane ceste.
Jedinična cijena stavke uključuje sav potreban rad, materijal i transporte za kompletnu izvedbu stavke.</t>
    </r>
  </si>
  <si>
    <r>
      <t xml:space="preserve">Dobava, doprema i polaganje </t>
    </r>
    <r>
      <rPr>
        <b/>
        <sz val="11"/>
        <rFont val="Arial"/>
        <family val="2"/>
        <charset val="238"/>
      </rPr>
      <t>pijeska frakcije 4-8 mm</t>
    </r>
    <r>
      <rPr>
        <sz val="11"/>
        <rFont val="Arial"/>
        <family val="2"/>
        <charset val="238"/>
      </rPr>
      <t xml:space="preserve"> i izrada </t>
    </r>
    <r>
      <rPr>
        <b/>
        <sz val="11"/>
        <rFont val="Arial"/>
        <family val="2"/>
        <charset val="238"/>
      </rPr>
      <t>pješčane posteljice</t>
    </r>
    <r>
      <rPr>
        <sz val="11"/>
        <rFont val="Arial"/>
        <family val="2"/>
        <charset val="238"/>
      </rPr>
      <t xml:space="preserve"> u debljini 10 cm, po cijeloj širini rova sa zbijanjem. Prilikom izrade treba se pridržavati pada iz uzdužnog profila, tako da cijev po cijeloj duljini leži na podlozi.
Jedinična cijena stavke uključuje sav potreban rad, materijal, pomoćna sredstva i transporte za kompletnu izvedbu stavke.
Obračun po m³ ugrađenog materijala u zbijenom stanju (koef. zbijenosti i koef. rastresitosti uračunati u jediničnu cijenu).</t>
    </r>
  </si>
  <si>
    <r>
      <t xml:space="preserve">Dobava, doprema i polaganje </t>
    </r>
    <r>
      <rPr>
        <b/>
        <sz val="11"/>
        <rFont val="Arial"/>
        <family val="2"/>
        <charset val="238"/>
      </rPr>
      <t>pijeska frakcije 4-8 mm</t>
    </r>
    <r>
      <rPr>
        <sz val="11"/>
        <rFont val="Arial"/>
        <family val="2"/>
        <charset val="238"/>
      </rPr>
      <t xml:space="preserve"> koji će se ugrađivati kao </t>
    </r>
    <r>
      <rPr>
        <b/>
        <sz val="11"/>
        <rFont val="Arial"/>
        <family val="2"/>
        <charset val="238"/>
      </rPr>
      <t xml:space="preserve">obloga i zaštita cijevi </t>
    </r>
    <r>
      <rPr>
        <sz val="11"/>
        <rFont val="Arial"/>
        <family val="2"/>
        <charset val="238"/>
      </rPr>
      <t>u cijeloj širini rova sa zbijanjem i to 30 cm iznad tjemena cijevi. Spojna mjesta cijevi ostaviti slobodna dok se montirane dionice ne ispitaju na vodonepropusnost.
Jedinična cijena stavke uključuje sav potreban rad, materijal, pomoćna sredstva i transporte za kompletnu izvedbu stavke.
Obračun po m³ ugrađenog materijala u zbijenom stanju (koef. zbijenosti i koef. rastresitosti uračunati u jediničnu cijenu).</t>
    </r>
  </si>
  <si>
    <r>
      <t xml:space="preserve">Dobava, doprema i strojno zatrpavanje preostalog dijela rova </t>
    </r>
    <r>
      <rPr>
        <b/>
        <sz val="11"/>
        <rFont val="Arial"/>
        <family val="2"/>
        <charset val="238"/>
      </rPr>
      <t>zamjenskim materijalom (čisti kameni materijal) frakcije 0-63 mm</t>
    </r>
    <r>
      <rPr>
        <sz val="11"/>
        <rFont val="Arial"/>
        <family val="2"/>
        <charset val="238"/>
      </rPr>
      <t xml:space="preserve"> na dijelu gdje trasa prolazi po asfaltu, uz obavezno nabijanje materijala u slojevima. Zbijenost zamjenskog materijala na asfaltiranim cestama do modula stišljivosti min. Ms = 40 MN/m² na </t>
    </r>
    <r>
      <rPr>
        <u/>
        <sz val="11"/>
        <rFont val="Arial"/>
        <family val="2"/>
        <charset val="238"/>
      </rPr>
      <t>nerazvrstanim cestama, betonskim prilazima i makadamu</t>
    </r>
    <r>
      <rPr>
        <sz val="11"/>
        <rFont val="Arial"/>
        <family val="2"/>
        <charset val="238"/>
      </rPr>
      <t>.
Obračun po m³ ugrađenog materijala u zbijenom stanju (koef. zbijenosti i koef. rastresitosti uračunati u jediničnu cijenu).</t>
    </r>
  </si>
  <si>
    <r>
      <rPr>
        <b/>
        <sz val="11"/>
        <rFont val="Arial"/>
        <family val="2"/>
        <charset val="238"/>
      </rPr>
      <t>Utovar, odvoz i odlaganje materijala</t>
    </r>
    <r>
      <rPr>
        <sz val="11"/>
        <rFont val="Arial"/>
        <family val="2"/>
        <charset val="238"/>
      </rPr>
      <t xml:space="preserve"> na reciklažno dvorište za građevni otpad koje osigurava Izvođač (bez obzira na udaljenost) te planiranje materijala na istoj, a sve sukladno </t>
    </r>
    <r>
      <rPr>
        <i/>
        <sz val="11"/>
        <rFont val="Arial"/>
        <family val="2"/>
        <charset val="238"/>
      </rPr>
      <t>Zakonu o gospodarenju otpadom (NN 84/21, 142/23)</t>
    </r>
    <r>
      <rPr>
        <sz val="11"/>
        <rFont val="Arial"/>
        <family val="2"/>
        <charset val="238"/>
      </rPr>
      <t xml:space="preserve"> te propisima koji uređuju održivo gospodarenje otpadom. Obračun vršen s koeficijentom rastresitosti 1,35.
Stavkom je obuhvaćena i eventualna cijena prihvata materijala na reciklažnom dvorištu za građevni otpad.
Jedinična cijena stavke uključuje sav potreban rad i transporte za kompletnu izvedbu stavke.
Prihvat na reciklažno dvorište će se obračunati prema ispostavljenom računu nadležne ustanove.
Obračun po m³ odvezenog materijala.</t>
    </r>
  </si>
  <si>
    <r>
      <rPr>
        <b/>
        <sz val="11"/>
        <rFont val="Arial"/>
        <family val="2"/>
        <charset val="238"/>
      </rPr>
      <t xml:space="preserve">Rezanje i prespoj na postojeći cjevovod.
</t>
    </r>
    <r>
      <rPr>
        <sz val="11"/>
        <rFont val="Arial"/>
        <family val="2"/>
        <charset val="238"/>
      </rPr>
      <t xml:space="preserve">Rezanje i prespoj se vrši na postojećem cjevovodu:
</t>
    </r>
    <r>
      <rPr>
        <u/>
        <sz val="11"/>
        <rFont val="Arial"/>
        <family val="2"/>
        <charset val="238"/>
      </rPr>
      <t xml:space="preserve">SL 100 kod prespoja
</t>
    </r>
    <r>
      <rPr>
        <sz val="11"/>
        <rFont val="Arial"/>
        <family val="2"/>
        <charset val="238"/>
      </rPr>
      <t xml:space="preserve">- V-1 na stac. 0+000,00 m,
- V-1 na stac. 0+253,53 m 
</t>
    </r>
    <r>
      <rPr>
        <u/>
        <sz val="11"/>
        <rFont val="Arial"/>
        <family val="2"/>
        <charset val="238"/>
      </rPr>
      <t xml:space="preserve">PEHD d90 kod prespoja
</t>
    </r>
    <r>
      <rPr>
        <sz val="11"/>
        <rFont val="Arial"/>
        <family val="2"/>
        <charset val="238"/>
      </rPr>
      <t xml:space="preserve">- V-1 na stac. 0+253,53 m
</t>
    </r>
    <r>
      <rPr>
        <u/>
        <sz val="11"/>
        <rFont val="Arial"/>
        <family val="2"/>
        <charset val="238"/>
      </rPr>
      <t>PEHD d50 kod prespoja</t>
    </r>
    <r>
      <rPr>
        <sz val="11"/>
        <rFont val="Arial"/>
        <family val="2"/>
        <charset val="238"/>
      </rPr>
      <t xml:space="preserve">
- V-1 na stac. 0+253,53 m  
U komplet izvedenih radova spada zatvaranje i pražnjenje sustava te dva rezanja postojeće cijevi za potrebe izvođenja prespoja. Prespoj na postojeći cjevovod će se izvesti spojnicama i fazonskim komadima, a sve prema prikazu u projektnoj dokumentaciji i u dogovoru s javnim isporučiteljem, odnosno djelatnicima Vrelo d.o.o.
Stavkom je obuhvaćen i odvoz i istovar materijala na reciklažno dvorište za građevni otpad koje određuje Izvođač radova, a sve sukladno Zakonu o gospodarenju otpadom (NN 84/21, 142/23).
Jedinična cijena stavke uključuje sav potreban rad, materijal, pomoćna sredstva i transporte za izvedbu stavke.
Obračun po komadu izvedenog prespoja.</t>
    </r>
  </si>
  <si>
    <r>
      <rPr>
        <b/>
        <sz val="11"/>
        <rFont val="Arial"/>
        <family val="2"/>
        <charset val="238"/>
      </rPr>
      <t>Označivanje pozicija kućnih priključaka</t>
    </r>
    <r>
      <rPr>
        <sz val="11"/>
        <rFont val="Arial"/>
        <family val="2"/>
        <charset val="238"/>
      </rPr>
      <t xml:space="preserve"> koji se trebaju izvesti bojom na terenu. Pozicije će zajednički odrediti predstavnici Investitora i nadzorni inženjer, a u zajedničkom obilasku trase s Izvođačem označiti ih na terenu. Izvođač radova je dužan osigurati vodootpornu boju.
Jedinična cijena stavke uključuje sve neophodne terenske i uredske poslove za kompletnu provedbu radova.
Obračun po komadu označenog priključka.</t>
    </r>
  </si>
  <si>
    <t>Iz iskaza masa (volumen iskopa) + dodatna proširenja za okna</t>
  </si>
  <si>
    <r>
      <t xml:space="preserve">Dobava, doprema i polaganje </t>
    </r>
    <r>
      <rPr>
        <b/>
        <sz val="11"/>
        <rFont val="Arial"/>
        <family val="2"/>
        <charset val="238"/>
      </rPr>
      <t>pijeska frakcije 4-8 mm</t>
    </r>
    <r>
      <rPr>
        <sz val="11"/>
        <rFont val="Arial"/>
        <family val="2"/>
        <charset val="238"/>
      </rPr>
      <t xml:space="preserve"> i izrada </t>
    </r>
    <r>
      <rPr>
        <b/>
        <sz val="11"/>
        <rFont val="Arial"/>
        <family val="2"/>
        <charset val="238"/>
      </rPr>
      <t>pješčane posteljice</t>
    </r>
    <r>
      <rPr>
        <sz val="11"/>
        <rFont val="Arial"/>
        <family val="2"/>
        <charset val="238"/>
      </rPr>
      <t xml:space="preserve"> u debljini 15 cm, po cijeloj širini rova sa zbijanjem. Prilikom izrade treba se pridržavati pada iz uzdužnog profila, tako da cijev po cijeloj duljini leži na podlozi.
Jedinična cijena stavke uključuje sav potreban rad, materijal, pomoćna sredstva i transporte za kompletnu izvedbu stavke.
Obračun po m³ ugrađenog materijala u zbijenom stanju (koef. zbijenosti i koef. rastresitosti uračunati u jediničnu cijenu).</t>
    </r>
  </si>
  <si>
    <r>
      <t xml:space="preserve">Dobava, doprema i strojno zatrpavanje preostalog dijela rova </t>
    </r>
    <r>
      <rPr>
        <b/>
        <sz val="11"/>
        <rFont val="Arial"/>
        <family val="2"/>
        <charset val="238"/>
      </rPr>
      <t>zamjenskim materijalom (čisti kameni materijal) frakcije 0-63 mm</t>
    </r>
    <r>
      <rPr>
        <sz val="11"/>
        <rFont val="Arial"/>
        <family val="2"/>
        <charset val="238"/>
      </rPr>
      <t xml:space="preserve">, uz obavezno nabijanje materijala u slojevima. Zbijenost zamjenskog materijala na asfaltiranim cestama do modula stišljivosti min. Ms = 40 MN/m² na </t>
    </r>
    <r>
      <rPr>
        <u/>
        <sz val="11"/>
        <rFont val="Arial"/>
        <family val="2"/>
        <charset val="238"/>
      </rPr>
      <t>nerazvrstanim cestama, betonskim prilazima i makadamu</t>
    </r>
    <r>
      <rPr>
        <sz val="11"/>
        <rFont val="Arial"/>
        <family val="2"/>
        <charset val="238"/>
      </rPr>
      <t>.
Obračun po m³ ugrađenog materijala u zbijenom stanju (koef. zbijenosti i koef. rastresitosti uračunati u jediničnu cijenu).</t>
    </r>
  </si>
  <si>
    <r>
      <t xml:space="preserve">Dobava, doprema lomljenog kamenog materijala frakcije 0-16 mm te </t>
    </r>
    <r>
      <rPr>
        <b/>
        <sz val="11"/>
        <rFont val="Arial"/>
        <family val="2"/>
        <charset val="238"/>
      </rPr>
      <t>zatrpavanje oko PEHD okana</t>
    </r>
    <r>
      <rPr>
        <sz val="11"/>
        <rFont val="Arial"/>
        <family val="2"/>
        <charset val="238"/>
      </rPr>
      <t>. Zatrpavanje se izvodi nakon što nadzorni inženjer primi izvedbu rova okna i provedena je kontrola niveliranja okna. Zbijanje materijala oko okna do zbijenosti Ms ≥ 40 MN/m² na nerazvrstanim cestama. Zbijanje izvoditi pažljivo, isključivo ručnim nabijačima, u slojevima od 30 cm do tražene zbijenosti, način zbijanja odobrava nadzorni inženjer. Spojevi s cijevima moraju ostati nezatrpani do izvedbe ispitivanja vodonepropusnosti. Tek po uspješno obavljenom ispitivanju spojevi se zatrpavaju.
Jedinična cijena stavke uključuje sav potreban rad, materijal, pomoćna sredstva i transporte za kompletnu izvedbu stavke.
Obračun po m³ ugrađenog materijala u zbijenom stanju (koef. zbijenosti i koef. rastresitosti uračunati u jediničnu cijenu).</t>
    </r>
  </si>
  <si>
    <r>
      <rPr>
        <b/>
        <sz val="11"/>
        <rFont val="Arial"/>
        <family val="2"/>
        <charset val="238"/>
      </rPr>
      <t>Utovar, odvoz i odlaganje materijala</t>
    </r>
    <r>
      <rPr>
        <sz val="11"/>
        <rFont val="Arial"/>
        <family val="2"/>
        <charset val="238"/>
      </rPr>
      <t xml:space="preserve"> na reciklažno dvorište za građevni otpad koje osigurava Izvođač (bez obzira na udaljenost) te planiranje materijala na istoj, a sve sukladno </t>
    </r>
    <r>
      <rPr>
        <i/>
        <sz val="11"/>
        <rFont val="Arial"/>
        <family val="2"/>
        <charset val="238"/>
      </rPr>
      <t>Zakonu o gospodarenju otpadom (NN 84/21,142/23)</t>
    </r>
    <r>
      <rPr>
        <sz val="11"/>
        <rFont val="Arial"/>
        <family val="2"/>
        <charset val="238"/>
      </rPr>
      <t xml:space="preserve"> te propisima koji uređuju održivo gospodarenje otpadom. Obračun vršen s koeficijentom rastresitosti 1,35.
Stavkom je obuhvaćena i eventualna cijena prihvata materijala na reciklažnom dvorištu za građevni otpad.
Jedinična cijena stavke uključuje sav potreban rad i transporte za kompletnu izvedbu stavke.
Prihvat na reciklažno dvorište će se obračunati prema ispostavljenom računu nadležne ustanove.
Obračun po m³ odvezenog materijala.</t>
    </r>
  </si>
  <si>
    <t>7.2.</t>
  </si>
  <si>
    <r>
      <t xml:space="preserve">Izrada i ugradnja </t>
    </r>
    <r>
      <rPr>
        <b/>
        <sz val="11"/>
        <rFont val="Arial"/>
        <family val="2"/>
        <charset val="238"/>
      </rPr>
      <t>armirano betonske montažne rasteretne ploče oko okruglih PE kanalizacijskih okana</t>
    </r>
    <r>
      <rPr>
        <sz val="11"/>
        <rFont val="Arial"/>
        <family val="2"/>
        <charset val="238"/>
      </rPr>
      <t>, betonom C25/30. U sredini ploče ostaviti otvor Ø67 cm za ulaz u okno.
U jediničnu cijenu je uključena izrada, postava i skidanje oplate, potrebna armatura, te sav potreban materijal, rad, pomoćna sredstva i transport za kompletnu izvedbu.
Obračun po komadu.</t>
    </r>
  </si>
  <si>
    <r>
      <t xml:space="preserve">Ploča za okno DN 600/625, dimenzija 130x130 cm
</t>
    </r>
    <r>
      <rPr>
        <i/>
        <sz val="11"/>
        <rFont val="Arial"/>
        <family val="2"/>
        <charset val="238"/>
      </rPr>
      <t>Količine materijala za 1 ploču:</t>
    </r>
    <r>
      <rPr>
        <sz val="11"/>
        <rFont val="Arial"/>
        <family val="2"/>
        <charset val="238"/>
      </rPr>
      <t xml:space="preserve">
- beton C25/30 = 0,33 m³
- armatura B500B = 22 kg</t>
    </r>
  </si>
  <si>
    <r>
      <rPr>
        <b/>
        <sz val="11"/>
        <rFont val="Arial"/>
        <family val="2"/>
        <charset val="238"/>
      </rPr>
      <t>Ispiranje canal-jetom</t>
    </r>
    <r>
      <rPr>
        <sz val="11"/>
        <rFont val="Arial"/>
        <family val="2"/>
        <charset val="238"/>
      </rPr>
      <t xml:space="preserve"> izgrađenih kanalizacijskih cjevovoda, zajedno s oknima. 
Jedinična cijena stavke uključuje sav potreban rad, vodu, materijal i pomoćna sredstva za izvedbu opisanog rada.
Obračun po m'.</t>
    </r>
  </si>
  <si>
    <r>
      <rPr>
        <b/>
        <sz val="11"/>
        <rFont val="Arial"/>
        <family val="2"/>
        <charset val="238"/>
      </rPr>
      <t>Kontrolno snimanje izvedenog kolektora</t>
    </r>
    <r>
      <rPr>
        <sz val="11"/>
        <rFont val="Arial"/>
        <family val="2"/>
        <charset val="238"/>
      </rPr>
      <t>. Kontrola ispravnosti strukturalne stabilnosti i osiguranja funkcionalnosti koja se mora dokazati CCTV inspekcijom sukladno normi Uvjeti za sustave odvodnje izvan zgrada - 2.dio: Sustav kodiranja optičkog nadzora HRN EN 13508-2/AC ili jednakovrijedno, sve u skladu sa Pravilnikom o tehničkim zahtjevima za građevine odvodnje, otpadnih voda, kao i rokovima obvezne kontrole ispravnosti građevina odvodnje i pročišćavanja otpadnih voda (NN 03/11).
Ovo kontrolno snimanje izvedenog kolektora CCTV inspekcijom kao kontrola ispravnosti strukturalne stabilnosti i osiguranja funkcionalnosti za cjevovode sa slobodnim vodnim licem (uključujući i okna i inspekcijske otvore) koje mora izvršiti izvođač sukladno zakonskoj regulativi, uz napravljenu analizu od strane nadzornog inženjera tog snimanja i njegove potvrde da je izgrađen cjevovod ispravan, je uvjet za tehnički pregled i primopredaju na upravljanje i održavanje.
CCTV inspekcija, odnosno snimanje kolektora robot–kamerom mora se vršiti nakon polaganja i zatrpavanja, a prije asfaltiranja dionice. Osim glavnog kolektora kontrolu ispravnosti, odnosno snimanje treba izvršiti i na izvedenim pripremama za kućne priključke.</t>
    </r>
  </si>
  <si>
    <r>
      <rPr>
        <b/>
        <sz val="11"/>
        <rFont val="Arial"/>
        <family val="2"/>
        <charset val="238"/>
      </rPr>
      <t>Završno ispitivanje izgrađene kanalizacije na vodonepropusnost</t>
    </r>
    <r>
      <rPr>
        <sz val="11"/>
        <rFont val="Arial"/>
        <family val="2"/>
        <charset val="238"/>
      </rPr>
      <t>, zajedno sa kontrolnim oknima i izvedenim pripremama za kućne priključke "V” ili "Z“ postupkom (ispitivanje vodom ili zrakom) prema normi za Polaganje i ispitivanje kanalizacijskih cjevovoda i kanala HRN EN 1610 ili jednakovrijedno, sve u skladu sa Pravilnikom o tehničkim zahtjevima za građevine odvodnje, otpadnih voda, kao i rokovima obvezne kontrole ispravnosti građevina odvodnje i pročišćavanja otpadnih voda (NN 03/11).
Ispitivanje mora vršiti akreditirani laboratorij osposobljen prema zahtjevima norme HRN EN ISO/IEC 17025 ili jednakovrijedno. Osim toga, laboratorij koji vrši ispitivanja mora zadovoljavati i sve ostale posebne uvjete propisane Pravilnikom o posebnim uvjetima za obavljanje djelatnosti ispitivanja vodonepropusnosti građevina za odvodnju i pročišćavanje otpadnih voda (NN 01/11), odnosno mora imati Rješenje o ispunjenju posebnih uvjeta sukladno zahtjevu istog Pravilnika.</t>
    </r>
  </si>
  <si>
    <r>
      <t xml:space="preserve">Dobava i doprema na privremeno odlagalište gradilišta, doprema s odlagališta gradilišta, spuštanje u rov te kompletna ugradnja </t>
    </r>
    <r>
      <rPr>
        <b/>
        <sz val="11"/>
        <rFont val="Arial"/>
        <family val="2"/>
        <charset val="238"/>
      </rPr>
      <t>montažnog okna od polietilena (PE)</t>
    </r>
    <r>
      <rPr>
        <sz val="11"/>
        <rFont val="Arial"/>
        <family val="2"/>
        <charset val="238"/>
      </rPr>
      <t xml:space="preserve"> DN 625, 800 i 1000 sa svim priključcima (fleksibilni ±7,5°), lukovima, brtvama i spojnicama od termoplastičnih materijala kompatibilnim s cijevnim materijalom, a prema specifikaciji i nacrtu okana. Okna su izvedena u skladu s HRN EN 13598-2 ili jednakovrijedno, a nazivni promjer okna DN označava unutarnji promjer. Okna imaju prefabriciran otvor ulaza i izlaza i mogućnost priključka.
Okno se sastoji od:
- Donjeg dijela "baze" s kinetom koja ima jedan ulaz i jedan izlaz (1/1 - prolazno okno). Horizontalni i vertikalni lomovi moraju biti tvornički riješeni u sklopu izrade baze okna, prema specifikaciji i situaciji. Prema specifikaciji sve priključne kolektore i kućne priključke u dno okna izvesti tvornički u kinetu okna.</t>
    </r>
  </si>
  <si>
    <r>
      <rPr>
        <b/>
        <sz val="11"/>
        <rFont val="Arial"/>
        <family val="2"/>
        <charset val="238"/>
      </rPr>
      <t>Klasa D400</t>
    </r>
    <r>
      <rPr>
        <sz val="11"/>
        <rFont val="Arial"/>
        <family val="2"/>
        <charset val="238"/>
      </rPr>
      <t xml:space="preserve"> (nosivosti 400 kN), </t>
    </r>
    <r>
      <rPr>
        <b/>
        <sz val="11"/>
        <rFont val="Arial"/>
        <family val="2"/>
        <charset val="238"/>
      </rPr>
      <t>sa okruglim okvirom h</t>
    </r>
    <r>
      <rPr>
        <b/>
        <vertAlign val="subscript"/>
        <sz val="11"/>
        <rFont val="Arial"/>
        <family val="2"/>
        <charset val="238"/>
      </rPr>
      <t>min</t>
    </r>
    <r>
      <rPr>
        <b/>
        <sz val="11"/>
        <rFont val="Arial"/>
        <family val="2"/>
        <charset val="238"/>
      </rPr>
      <t xml:space="preserve"> = 90 mm, bez ventilacijskih otvora</t>
    </r>
  </si>
  <si>
    <r>
      <t xml:space="preserve">Dobava i doprema na privremeno odlagalište gradilišta, doprema s odlagališta gradilišta, spuštanje u rov, te kompletna ugradnja </t>
    </r>
    <r>
      <rPr>
        <b/>
        <sz val="11"/>
        <rFont val="Arial"/>
        <family val="2"/>
        <charset val="238"/>
      </rPr>
      <t>kanalizacijske cijevi od termoplastičnih materijala.</t>
    </r>
    <r>
      <rPr>
        <sz val="11"/>
        <rFont val="Arial"/>
        <family val="2"/>
        <charset val="238"/>
      </rPr>
      <t xml:space="preserve"> Cijevi od termoplastičnih materijala prema normi:
HRN EN 13476-1 ili jednakovrijedno i HRN EN 13476-3 ili jednakovrijedno za plastični cijevi sustav za netlačnu podzemnu odvodnju i kanalizaciju od PVC-U, PP i PE cijevi s glatkom unutrašnjom i profiliranom vanjskom površinom koje se spajaju isključivo sa spojnicom i dvije gumene brtve minimalne tjemene nosivosti SN 8.
HRN EN 1401-1 ili jednakovrijedno za plastični cijevi sustav za netlačnu podzemnu odvodnju i kanalizaciju PVC-U cijevi koje se spaja isključivo na kolčak sa jednom gumenom brtvom minimalne tjemene nosivosti SN 8.</t>
    </r>
  </si>
  <si>
    <r>
      <rPr>
        <b/>
        <sz val="11"/>
        <rFont val="Arial"/>
        <family val="2"/>
        <charset val="238"/>
      </rPr>
      <t>Napomena:</t>
    </r>
    <r>
      <rPr>
        <sz val="11"/>
        <rFont val="Arial"/>
        <family val="2"/>
        <charset val="238"/>
      </rPr>
      <t xml:space="preserve"> Izvođač radova može ugraditi jednakovrijedni materijal, istih ili boljih tehničkih karakteristika i kvalitete, uz uvjet da su u skladu sa navedenim normama i načinom spajanja.
U ovom glavnom projektu dimenzije moguće primjenjivih cijevi su definirane na slijedeći način. DN je nazivni promjer kolektora, definiran unutarnjim čistim promjerom kružnog profila cijevi - Du.
* DN 250: Du = 235,4 mm ± 15%
U cijenu je uključena geodetska nivelacija cjevovoda i kontrola zatrpavanja od strane montera.
Jedinična cijena stavke uključuje sav potreban rad, materijal i transporte za izvedbu stavke.
Obračun po m' dobavljene i ugrađene cijevi, komplet sa spojnim i brtvenim materijalom.</t>
    </r>
  </si>
  <si>
    <r>
      <t xml:space="preserve">DN 250
</t>
    </r>
    <r>
      <rPr>
        <sz val="11"/>
        <rFont val="Arial"/>
        <family val="2"/>
        <charset val="238"/>
      </rPr>
      <t>Ovom stavkom predviđeno je koristiti punostjeni PVC.</t>
    </r>
  </si>
  <si>
    <r>
      <t>Ponuditelj može ponuditi samo jednakovrijedni proizvod.</t>
    </r>
    <r>
      <rPr>
        <b/>
        <sz val="11"/>
        <rFont val="Arial"/>
        <family val="2"/>
        <charset val="238"/>
      </rPr>
      <t xml:space="preserve">
Ponuđeni proizvod:</t>
    </r>
    <r>
      <rPr>
        <sz val="11"/>
        <rFont val="Arial"/>
        <family val="2"/>
        <charset val="238"/>
      </rPr>
      <t xml:space="preserve">
Tip:_________________________________
Proizvođač:___________________________
Zemlja porijekla:_______________________</t>
    </r>
  </si>
  <si>
    <r>
      <t xml:space="preserve">Dobava i doprema na privremeno odlagalište gradilišta, doprema s odlagališta gradilišta do mjesta ugradnje i ugradnja </t>
    </r>
    <r>
      <rPr>
        <b/>
        <sz val="11"/>
        <rFont val="Arial"/>
        <family val="2"/>
        <charset val="238"/>
      </rPr>
      <t xml:space="preserve">fazonskih komada od termoplastičnih materijala.
</t>
    </r>
    <r>
      <rPr>
        <sz val="11"/>
        <rFont val="Arial"/>
        <family val="2"/>
        <charset val="238"/>
      </rPr>
      <t>U cijenu jediničnu stavke uključen je i sav potreban spojni i brtveni materijal.
Obračun po komadu dobavljenog i ugrađenog fazonskog komada.</t>
    </r>
  </si>
  <si>
    <t>4.2.</t>
  </si>
  <si>
    <t>4.3.</t>
  </si>
  <si>
    <t>Spojnica dvostrana DN 250</t>
  </si>
  <si>
    <r>
      <t>Koljeno 15° DN 250</t>
    </r>
    <r>
      <rPr>
        <sz val="11"/>
        <rFont val="Arial"/>
        <family val="2"/>
        <charset val="238"/>
      </rPr>
      <t xml:space="preserve"> (poz. L1)</t>
    </r>
  </si>
  <si>
    <r>
      <rPr>
        <b/>
        <sz val="11"/>
        <rFont val="Arial"/>
        <family val="2"/>
        <charset val="238"/>
      </rPr>
      <t>Ručni iskop rova</t>
    </r>
    <r>
      <rPr>
        <sz val="11"/>
        <rFont val="Arial"/>
        <family val="2"/>
        <charset val="238"/>
      </rPr>
      <t xml:space="preserve"> za polaganje cijevi kućnog priključka, bez obzira na kategoriju tla.
Za karakteristični presjek rova uzet je pravokutni presjek rova širine 0,60 m, prosječne dubine 1,10 m i prosječne duljine 5,0 m koji će se kao idealni presjek koristiti za obračun radova.
Iskopani materijal odmah utovarivati u vozilo za odvoz na reciklažno dvorište za građevni otpad, što je obračunato posebnom stavkom. Odvoz bez obzira na udaljenost reciklažnog dvorišta. Uključena su sva potrebna produbljenja i proširenja rova na mjestima izrade okana kanalizacijskih kućnih priključaka.
Sva proširenja i produbljenja koja nastanu uslijed neravnomjernosti iskopa ili kao posljedica zarušavanja neće se obračunati već moraju biti uračunata u jediničnu cijenu iskopa.
Obuhvaćeno planiranje dna rova s točnošću ± 3 cm. Prosječna dubina nivelete cijevi kanalizacijskog priključka 1,1 m.
Jedinična cijena stavke uključuje sav potreban rad i materijal za kompletnu izvedbu iskopa.
Obračun po m³ iskopanog materijala u sraslom stanju.</t>
    </r>
  </si>
  <si>
    <r>
      <t xml:space="preserve">Dobava, doprema i strojno zatrpavanje preostalog dijela rova </t>
    </r>
    <r>
      <rPr>
        <b/>
        <sz val="11"/>
        <rFont val="Arial"/>
        <family val="2"/>
        <charset val="238"/>
      </rPr>
      <t>zamjenskim materijalom (čisti kameni materijal) frakcije 0-63 mm</t>
    </r>
    <r>
      <rPr>
        <sz val="11"/>
        <rFont val="Arial"/>
        <family val="2"/>
        <charset val="238"/>
      </rPr>
      <t>, uz obavezno nabijanje materijala u slojevima. Zbijenost zamjenskog materijala na asfaltiranim cestama do modula stišljivosti min. Ms = 40 MN/m² na nerazvrstanim cestama.
Obračun po m³ ugrađenog materijala u zbijenom stanju (koef. zbijenosti i koef. rastresitosti uračunati u jediničnu cijenu).</t>
    </r>
  </si>
  <si>
    <r>
      <t xml:space="preserve">Kompletna izvedba novih </t>
    </r>
    <r>
      <rPr>
        <b/>
        <sz val="11"/>
        <rFont val="Arial"/>
        <family val="2"/>
        <charset val="238"/>
      </rPr>
      <t>betonskih okana kanalizacijskih priključaka</t>
    </r>
    <r>
      <rPr>
        <sz val="11"/>
        <rFont val="Arial"/>
        <family val="2"/>
        <charset val="238"/>
      </rPr>
      <t xml:space="preserve">, tlocrtnih dimenzija ovisno o visini okna, te debljine stijenke dna i zidova 20 cm.
Svijetle dimenzije okana su 60×60 cm za dubine do 1,00 m.
Stavka uključuje sve potrebne radove, betonske, armiranobetonske, zidarske, tesarske i dr.
</t>
    </r>
    <r>
      <rPr>
        <u/>
        <sz val="11"/>
        <rFont val="Arial"/>
        <family val="2"/>
        <charset val="238"/>
      </rPr>
      <t>Radovi i materijali za izvedbu jednog okna:</t>
    </r>
    <r>
      <rPr>
        <sz val="11"/>
        <rFont val="Arial"/>
        <family val="2"/>
        <charset val="238"/>
      </rPr>
      <t xml:space="preserve">
Betoniranje dna i zidova okna betonom razreda tlačne čvrstoće C30/37, sa dodatkom sredstva za povećanje vodonepropusnosti, u dvostranoj glatkoj oplati uz obavezno vibriranje.
Izvedba armiranobetonske pokrovne ploče okna betonom razreda tlačne čvrstoće C30/37.
Uključena je sva potrebna armatura oznake čelika B500B. 
Beton ugrađivati pomoću pervibratora, a pripremiti ga i njegovati prema Pravilniku TPGK.</t>
    </r>
  </si>
  <si>
    <r>
      <t>Okno dim. svijetlog otvora 60×60 cm, h</t>
    </r>
    <r>
      <rPr>
        <b/>
        <vertAlign val="subscript"/>
        <sz val="11"/>
        <rFont val="Arial"/>
        <family val="2"/>
        <charset val="238"/>
      </rPr>
      <t>sr</t>
    </r>
    <r>
      <rPr>
        <b/>
        <sz val="11"/>
        <rFont val="Arial"/>
        <family val="2"/>
        <charset val="238"/>
      </rPr>
      <t xml:space="preserve"> = 100 cm
</t>
    </r>
    <r>
      <rPr>
        <i/>
        <sz val="11"/>
        <rFont val="Arial"/>
        <family val="2"/>
        <charset val="238"/>
      </rPr>
      <t xml:space="preserve">Količine materijala za 1 okno:
- </t>
    </r>
    <r>
      <rPr>
        <sz val="11"/>
        <rFont val="Arial"/>
        <family val="2"/>
        <charset val="238"/>
      </rPr>
      <t>beton C30/37 = 1,00 m³
- podložni beton C16/20 = 0,90 m³
- armatura B500B = 135 kg
- ugradnja poklopca = 1 kom.</t>
    </r>
  </si>
  <si>
    <r>
      <rPr>
        <b/>
        <sz val="11"/>
        <rFont val="Arial"/>
        <family val="2"/>
        <charset val="238"/>
      </rPr>
      <t>Priprema za spoj/prespoj objekta na okno kanalizacijskog kućnog priključka</t>
    </r>
    <r>
      <rPr>
        <sz val="11"/>
        <rFont val="Arial"/>
        <family val="2"/>
        <charset val="238"/>
      </rPr>
      <t xml:space="preserve">
Dobava, doprema do deponije gradilišta te kompletna montaža kanalizacijskih cijevi od termoplastičnog materijala PVC glatke cijevi od 1,00 m sa spojem na naglavak i original čepom za naglavak nosivosti SN 8 DN 160 mm - priprema za spoj/prespoj objekta na okno kućnog priključka.
Cijevi se ugrađuju u okno kućnog priključka i pozicioniraju se prema izlazu iz objekta.
Dobava, doprema do deponije gradilišta, kanalizacijskih PVC cijevi sa potrebnim materijalom, čepom, te montaža.
Uz PVC cijevi od 1,00 m nabaviti i dopremiti odgovarajuću spojnicu za spoj cijevi na okno kućnog priključka i čep.
Stavkom je obuhvaćen i transport cijevi i spojnice od  gradilišne privremene deponije do položaja za montažu, spuštanje na pripremljenu posteljicu, poravnavanje po pravcu i niveleti uz kontrolu geodetskim instrumentom, te pripomoći pri montaži.
Obračun po komadu dobavljene i montirane cijevi sa odgovarajućom spojnicom za cijev i betonsko okno.</t>
    </r>
  </si>
  <si>
    <r>
      <t xml:space="preserve">DN 160 mm
</t>
    </r>
    <r>
      <rPr>
        <sz val="11"/>
        <rFont val="Arial"/>
        <family val="2"/>
        <charset val="238"/>
      </rPr>
      <t>Ovom stavkom predviđeno je koristiti punostjeni PVC.</t>
    </r>
  </si>
  <si>
    <r>
      <t xml:space="preserve">Dobava i doprema na privremeno odlagalište gradilišta </t>
    </r>
    <r>
      <rPr>
        <b/>
        <sz val="11"/>
        <rFont val="Arial"/>
        <family val="2"/>
        <charset val="238"/>
      </rPr>
      <t>kanalskih poklopaca od nodularnog lijeva Ø600 mm</t>
    </r>
    <r>
      <rPr>
        <sz val="11"/>
        <rFont val="Arial"/>
        <family val="2"/>
        <charset val="238"/>
      </rPr>
      <t xml:space="preserve"> sa okvirom visine min. 10 cm, nosivosti 250 kN, proizvedenih prema HRN EN 124 ili jednakovrijedno. Ležište poklopca na okviru izrađeno je od umjetne mase (elastomera) tako da poklopac potpuno naliježe na okvir, bez mogućnosti pomaka i lupanja. Poklopac je sa šarkama povezan s okvirom, a opremljen je sustavom samozabrtvljenja čime se onemogućuje otvaranje tj. izlijetanje poklopca. Poklopac mora zadovoljiti Hrvatsku normu i klasu C250 prema europskoj normi HRN EN 124 ili jednakovrijedno. Poklopac mora imati natpis "KANALIZACIJA", a format natpisa na poklopcu mora biti izveden u dogovoru s Investitorom. Za navedeni poklopac ponuditelj je dužan uz ponudu priložiti potvrdu o sukladnosti od ovlaštene kuće u RH.
Obračun po komadu.</t>
    </r>
  </si>
  <si>
    <r>
      <rPr>
        <b/>
        <sz val="11"/>
        <rFont val="Arial"/>
        <family val="2"/>
        <charset val="238"/>
      </rPr>
      <t>Klasa C250</t>
    </r>
    <r>
      <rPr>
        <sz val="11"/>
        <rFont val="Arial"/>
        <family val="2"/>
        <charset val="238"/>
      </rPr>
      <t xml:space="preserve"> (nosivosti 250 kN), </t>
    </r>
    <r>
      <rPr>
        <b/>
        <sz val="11"/>
        <rFont val="Arial"/>
        <family val="2"/>
        <charset val="238"/>
      </rPr>
      <t>sa kvadratnim okvirom h=10 cm, bez ventilacijskih otvora</t>
    </r>
  </si>
  <si>
    <r>
      <t xml:space="preserve">Dobava, doprema do odlagališta gradilišta, transport od odlagališta gradilišta do mjesta ugradnje, te kompletna montaža </t>
    </r>
    <r>
      <rPr>
        <b/>
        <sz val="11"/>
        <rFont val="Arial"/>
        <family val="2"/>
        <charset val="238"/>
      </rPr>
      <t>kanalizacijske cijevi, spojnog i brtvenog materijala i fazonskih komada od termoplastičnih materijala</t>
    </r>
    <r>
      <rPr>
        <sz val="11"/>
        <rFont val="Arial"/>
        <family val="2"/>
        <charset val="238"/>
      </rPr>
      <t xml:space="preserve"> min. tjemene nosivosti SN 8, od glatkih ili korugiranih cijevi sukladno normi:
HRN EN 13476-1 2007 ili jednakovrijedno i HRN EN 13476-3 2009 ili jednakovrijedno za plastični cijevi sustav za netlačnu podzemnu odvodnju i kanalizaciju od PVC-U, PP I PE cijevi s glatkom unutrašnjom i profiliranom vanjskom površinom koje se spajaju isključivo sa spojnicom i dvije gumene brtve minimalne tjemene nosivosti SN 8.
HRN EN 1401-1 2009 ili jednakovrijedno za plastični cijevi sustav za netlačnu podzemnu odvodnju i kanalizaciju PVC-U cijevi koje se spaja isključivo na kolčak sa jednom gumenom brtvom minimalne tjemene nosivosti SN 8.</t>
    </r>
  </si>
  <si>
    <r>
      <rPr>
        <b/>
        <sz val="11"/>
        <rFont val="Arial"/>
        <family val="2"/>
        <charset val="238"/>
      </rPr>
      <t>Napomena:</t>
    </r>
    <r>
      <rPr>
        <sz val="11"/>
        <rFont val="Arial"/>
        <family val="2"/>
        <charset val="238"/>
      </rPr>
      <t xml:space="preserve"> Izvođač radova može ugraditi jednakovrijedni materijal, istih ili boljih tehničkih karakteristika i kvalitete, uz uvjet da su u skladu sa navedenim normama i načinom spajanja.
U ovom glavnom projektu dimenzije moguće primjenjivih cijevi su definirane na slijedeći način. DN je nazivni promjer kolektora, definiran unutarnjim čistim promjerom kružnog profila cijevi - Du.
* DN 400: Du = 376,6 mm ± 15%
U cijenu je uključena geodetska nivelacija cjevovoda i kontrola zatrpavanja od strane montera.
Jedinična cijena stavke uključuje sav potreban rad, materijal i transporte za izvedbu stavke.
Obračun po m' dobavljene i ugrađene cijevi, komplet sa spojnim i brtvenim materijalom.</t>
    </r>
  </si>
  <si>
    <t>186,0 m'</t>
  </si>
  <si>
    <r>
      <t xml:space="preserve">DN 400
</t>
    </r>
    <r>
      <rPr>
        <sz val="11"/>
        <rFont val="Arial"/>
        <family val="2"/>
        <charset val="238"/>
      </rPr>
      <t>Ovom stavkom predviđeno je koristiti punostjeni PVC.</t>
    </r>
  </si>
  <si>
    <r>
      <t xml:space="preserve">DN 200
</t>
    </r>
    <r>
      <rPr>
        <sz val="11"/>
        <rFont val="Arial"/>
        <family val="2"/>
        <charset val="238"/>
      </rPr>
      <t>Ovom stavkom predviđeno je koristiti punostjeni PVC.</t>
    </r>
  </si>
  <si>
    <t>Spojnica dvostrana DN 400</t>
  </si>
  <si>
    <r>
      <rPr>
        <b/>
        <sz val="11"/>
        <rFont val="Arial"/>
        <family val="2"/>
        <charset val="238"/>
      </rPr>
      <t>Klasa D400</t>
    </r>
    <r>
      <rPr>
        <sz val="11"/>
        <rFont val="Arial"/>
        <family val="2"/>
        <charset val="238"/>
      </rPr>
      <t xml:space="preserve"> (nosivosti 400 kN), </t>
    </r>
    <r>
      <rPr>
        <b/>
        <sz val="11"/>
        <rFont val="Arial"/>
        <family val="2"/>
        <charset val="238"/>
      </rPr>
      <t>sa kvadratnim okvirom h</t>
    </r>
    <r>
      <rPr>
        <b/>
        <vertAlign val="subscript"/>
        <sz val="11"/>
        <rFont val="Arial"/>
        <family val="2"/>
        <charset val="238"/>
      </rPr>
      <t>min</t>
    </r>
    <r>
      <rPr>
        <b/>
        <sz val="11"/>
        <rFont val="Arial"/>
        <family val="2"/>
        <charset val="238"/>
      </rPr>
      <t xml:space="preserve"> = 90 mm, sa ventilacijskim otvorima</t>
    </r>
  </si>
  <si>
    <t>Spojnica za ubetoniravanje DN 400</t>
  </si>
  <si>
    <r>
      <t>Koljeno 15° DN 400</t>
    </r>
    <r>
      <rPr>
        <sz val="11"/>
        <rFont val="Arial"/>
        <family val="2"/>
        <charset val="238"/>
      </rPr>
      <t xml:space="preserve"> (poz. L2)</t>
    </r>
  </si>
  <si>
    <t>Iz iskaza masa (volumen iskopa) + dodatna proširenja oko slivinka</t>
  </si>
  <si>
    <t>SL-1</t>
  </si>
  <si>
    <t>SL-1:</t>
  </si>
  <si>
    <r>
      <t xml:space="preserve">AB okno ROO-1 / ROO-2 dim. svijetlog otvora 60×60 cm, h = 200 cm
</t>
    </r>
    <r>
      <rPr>
        <i/>
        <sz val="11"/>
        <color rgb="FF000000"/>
        <rFont val="Arial"/>
        <family val="2"/>
        <charset val="238"/>
      </rPr>
      <t xml:space="preserve">Količine materijala za 1 okno:
- </t>
    </r>
    <r>
      <rPr>
        <sz val="11"/>
        <color rgb="FF000000"/>
        <rFont val="Arial"/>
        <family val="2"/>
        <charset val="238"/>
      </rPr>
      <t>beton C25/30 = 1,0 m³
- kameni materijal frakcije 32-63 mm = 3,0 m³
- geotekstil = 30 m</t>
    </r>
    <r>
      <rPr>
        <vertAlign val="superscript"/>
        <sz val="11"/>
        <color rgb="FF000000"/>
        <rFont val="Arial"/>
        <family val="2"/>
        <charset val="238"/>
      </rPr>
      <t>2</t>
    </r>
    <r>
      <rPr>
        <sz val="11"/>
        <color rgb="FF000000"/>
        <rFont val="Arial"/>
        <family val="2"/>
        <charset val="238"/>
      </rPr>
      <t xml:space="preserve">
- armatura B500B = 70 kg
- ugradnja poklopca: 1 kom.</t>
    </r>
  </si>
  <si>
    <r>
      <t xml:space="preserve">AB okno KR-1 / KR-2 / KR-3 i KR-4 dim. svijetlog otvora 60×60 cm, svijetle visine h = 130 cm
</t>
    </r>
    <r>
      <rPr>
        <i/>
        <sz val="11"/>
        <color rgb="FF000000"/>
        <rFont val="Arial"/>
        <family val="2"/>
        <charset val="238"/>
      </rPr>
      <t xml:space="preserve">Količine materijala za 1 okno:
- </t>
    </r>
    <r>
      <rPr>
        <sz val="11"/>
        <color rgb="FF000000"/>
        <rFont val="Arial"/>
        <family val="2"/>
        <charset val="238"/>
      </rPr>
      <t>beton C25/30 = 1,0 m³
- kameni materijal frakcije 32-63 mm = 3,0 m³
- geotekstil = 30 m</t>
    </r>
    <r>
      <rPr>
        <vertAlign val="superscript"/>
        <sz val="11"/>
        <color rgb="FF000000"/>
        <rFont val="Arial"/>
        <family val="2"/>
        <charset val="238"/>
      </rPr>
      <t>2</t>
    </r>
    <r>
      <rPr>
        <sz val="11"/>
        <color rgb="FF000000"/>
        <rFont val="Arial"/>
        <family val="2"/>
        <charset val="238"/>
      </rPr>
      <t xml:space="preserve">
- armatura B500B = 70 kg</t>
    </r>
  </si>
  <si>
    <r>
      <rPr>
        <b/>
        <sz val="11"/>
        <rFont val="Arial"/>
        <family val="2"/>
        <charset val="238"/>
      </rPr>
      <t>Probijanje otvora u postojećem oknu</t>
    </r>
    <r>
      <rPr>
        <sz val="11"/>
        <rFont val="Arial"/>
        <family val="2"/>
        <charset val="238"/>
      </rPr>
      <t xml:space="preserve"> za izvedbu priključka projektiranog cjevovoda. U stijenki betonskog okna debljine 20 cm potrebno je izraditi otvor dim. 60x60 cm. Nakon ugradnje komada za ubetoniravanje otvor je potrebno zatvoriti betonom C25/30. Unutarnju stranu okna potrebno je očistiti, stijenke okna obraditi i zagladiti. Unutarnju površinu dna i zidova okna obraditi brzovezućim kitom, sa zapunjavanjem rupa u betonu do postizanja vodonepropusnosti, te gletanjem istom vodonepropusnom masom.
Ako je priključak izveden unutar kinete okna ili se ista ošteti, istu je potrebno izraditi od betona C25/30 u pravilnom hidrauličkom obliku. Površinu kinete obraditi cementnim mortom omjera 1:2, debljine 2 cm, zagladiti do crnog sjaja. Kineta unutar okna mora imati uzdužni nagib kao i ostali dio trase. 
</t>
    </r>
    <r>
      <rPr>
        <i/>
        <u/>
        <sz val="11"/>
        <rFont val="Arial"/>
        <family val="2"/>
        <charset val="238"/>
      </rPr>
      <t>Prije početka radova utvrditi točne dimenzije postojećeg okna.</t>
    </r>
    <r>
      <rPr>
        <sz val="11"/>
        <rFont val="Arial"/>
        <family val="2"/>
        <charset val="238"/>
      </rPr>
      <t xml:space="preserve">
Jedinična cijena stavke uključuje sav potreban rad, materijal, pomoćna sredstva i transporte za izvedbu opisanog rada.
Obračun po komadu izvedenog priključka.</t>
    </r>
  </si>
  <si>
    <r>
      <rPr>
        <b/>
        <sz val="11"/>
        <rFont val="Arial"/>
        <family val="2"/>
        <charset val="238"/>
      </rPr>
      <t>Probijanje otvora u postojećem oknu</t>
    </r>
    <r>
      <rPr>
        <sz val="11"/>
        <rFont val="Arial"/>
        <family val="2"/>
        <charset val="238"/>
      </rPr>
      <t xml:space="preserve"> za izvedbu priključka projektiranog cjevovoda. U stijenki betonskog okna debljine 20 cm potrebno je izraditi otvor dim. 60x60 cm. Nakon ugradnje komada za ubetoniravanje otvor je potrebno zatvoriti betonom C25/30. Unutarnju stranu okna potrebno je očistiti, stijenke okna obraditi i zagladiti. Unutarnju površinu dna i zidova okna obraditi brzovezućim kitom, sa zapunjavanjem rupa u betonu do postizanja vodonepropusnosti, te gletanjem istom vodonepropusnom masom.
Ako je priključak izveden unutar kinete okna ili se ista ošteti, istu je potrebno izraditi od betona C25/30 u pravilnom hidrauličkom obliku. Površinu kinete obraditi cementnim mortom omjera 1:2, debljine 2 cm, zagladiti do crnog sjaja. Kineta unutar okna mora imati uzdužni nagib kao i ostali dio trase.
</t>
    </r>
    <r>
      <rPr>
        <i/>
        <u/>
        <sz val="11"/>
        <rFont val="Arial"/>
        <family val="2"/>
        <charset val="238"/>
      </rPr>
      <t>Prije početka radova utvrditi točne dimenzije postojećeg okna.</t>
    </r>
    <r>
      <rPr>
        <sz val="11"/>
        <rFont val="Arial"/>
        <family val="2"/>
        <charset val="238"/>
      </rPr>
      <t xml:space="preserve">
Jedinična cijena stavke uključuje sav potreban rad, materijal, pomoćna sredstva i transporte za izvedbu opisanog rada.
Obračun po komadu izvedenog priključka.</t>
    </r>
  </si>
  <si>
    <r>
      <t xml:space="preserve">AB slivnik SL-1 dim. svijetlog otvora 80×40 cm, h = 130 cm
</t>
    </r>
    <r>
      <rPr>
        <i/>
        <sz val="11"/>
        <color rgb="FF000000"/>
        <rFont val="Arial"/>
        <family val="2"/>
        <charset val="238"/>
      </rPr>
      <t xml:space="preserve">Količine materijala za 1 slivnik:
- </t>
    </r>
    <r>
      <rPr>
        <sz val="11"/>
        <color rgb="FF000000"/>
        <rFont val="Arial"/>
        <family val="2"/>
        <charset val="238"/>
      </rPr>
      <t>beton C25/30 = 0,80 m³
- kameni materijal frakcije 4-8  mm = 0,2 m³
- armatura B500B = 70 kg
- ugradnja kanalne rešetke s okvirom</t>
    </r>
  </si>
  <si>
    <r>
      <t xml:space="preserve">AB kanal kišne rešetke dim. svijetlog poprečnog presjeka 30×30 cm, prosječne ukupne duljine l=4,0 m
</t>
    </r>
    <r>
      <rPr>
        <i/>
        <sz val="11"/>
        <color rgb="FF000000"/>
        <rFont val="Arial"/>
        <family val="2"/>
        <charset val="238"/>
      </rPr>
      <t xml:space="preserve">Količine materijala za 1 kišni kanal:
- </t>
    </r>
    <r>
      <rPr>
        <sz val="11"/>
        <color rgb="FF000000"/>
        <rFont val="Arial"/>
        <family val="2"/>
        <charset val="238"/>
      </rPr>
      <t>beton C25/30 = 0,70 m³
- armatura B500B = 60 kg
- ugradnja kanalne rešetke s okvirom</t>
    </r>
  </si>
  <si>
    <r>
      <rPr>
        <b/>
        <sz val="11"/>
        <color rgb="FF000000"/>
        <rFont val="Arial"/>
        <family val="2"/>
        <charset val="238"/>
      </rPr>
      <t>Izvedba armiranobetonske rasteretne ploče</t>
    </r>
    <r>
      <rPr>
        <sz val="11"/>
        <color rgb="FF000000"/>
        <rFont val="Arial"/>
        <family val="2"/>
        <charset val="238"/>
      </rPr>
      <t xml:space="preserve"> na dijelu trase oborinskog kolektora OK-1 za dubinu nivelete pliću od 1,20 m.
Izradu betonske ploče obaviti na dobro zbijenoj podlozi, u svemu prema detaljima iz projektne dokumentacije.
Sloj betona kvalitete C 20/25, debljine 15 cm, armiran armaturnom mrežom Q-335, razred čelika za armiranje B500B.
Stavka obuhvaća sve potrebne transporte materijala za kompletnu izvedbu. Beton ugraditi i njegovati prema TPGK.
Jedinična cijena stavke uključuje sav potreban rad, materijal, pomoćna sredstva i transporte za izvedbu opisanog rada.
Obračun po m³  ugrađenog materijala</t>
    </r>
  </si>
  <si>
    <r>
      <t>Dobava, prijevoz, isporuka i istovar na odlagalište gradilišta</t>
    </r>
    <r>
      <rPr>
        <b/>
        <sz val="11"/>
        <rFont val="Arial"/>
        <family val="2"/>
        <charset val="238"/>
      </rPr>
      <t xml:space="preserve"> kanalskog poklopca od nodularnog lijeva 600 × 600 mm</t>
    </r>
    <r>
      <rPr>
        <sz val="11"/>
        <rFont val="Arial"/>
        <family val="2"/>
        <charset val="238"/>
      </rPr>
      <t xml:space="preserve"> sa kvadratnim okvirom visine min. 90 mm, nosivosti 400 kN, proizvedenih prema HRN EN 124-2 ili jednakovrijedno. Ležište poklopca na okviru izrađeno je od umjetne mase (elastomera) tako da poklopac potpuno naliježe na okvir, bez mogućnosti pomaka i lupanja. Poklopac mora zadovoljiti Hrvatsku normu i klasu D400 prema europskoj normi HRN EN 124 ili jednakovrijedno. Poklopac mora imati natpis "KANALIZACIJA", a format natpisa na poklopcu mora biti izveden u dogovoru s Investitorom. Za navedeni poklopac ponuditelj je dužan uz ponudu priložiti potvrdu o sukladnosti od ovlaštene kuće u RH.
Obračun po komadu.</t>
    </r>
  </si>
  <si>
    <r>
      <rPr>
        <b/>
        <sz val="11"/>
        <color rgb="FF000000"/>
        <rFont val="Arial"/>
        <family val="2"/>
        <charset val="238"/>
      </rPr>
      <t>Betoniranje zidova i pokrovne ploče armirano-betonskog revizijskog okna oborinske kanalizacije</t>
    </r>
    <r>
      <rPr>
        <sz val="11"/>
        <color rgb="FF000000"/>
        <rFont val="Arial"/>
        <family val="2"/>
        <charset val="238"/>
      </rPr>
      <t xml:space="preserve"> betonom tlačne čvrstoće C 25/30 u razredu izloženosti XC1. Zidove okana izvoditi u dvostranoj oplati uz obavezno pervibriranje. Debljina zidova i ploče je 20 cm. Ploču i zidove armirati dvostrano armaturom B500B, što je uključeno u cijenu stavke. U gornjoj ploči, na poziciji kišne rešetke, ostaviti otvor 50×40 cm. Stavkom je obuhvaćena doprema s odlagališta gradilišta do mjesta ugradnje i ugradnja poklopca od nodularnog lijeva na poziciji gdje nije predviđena kišna rešetka iznad okna. Unutrašnje površine okna obraditi cementnim mortom sa zaglađivanjem površine zbog osiguravanja vodonepropusnosti. 
U dnu okna izvesti drenažni sloj debljine sloja oko 0,65 cm od kamenog materijala frakcije 32-63 mm. Prije izvedbe drenažnog sloja na dno rova i oko drenažnog sloja postaviti netkani geotekstil od polipropilena (400 g/m</t>
    </r>
    <r>
      <rPr>
        <vertAlign val="superscript"/>
        <sz val="11"/>
        <color rgb="FF000000"/>
        <rFont val="Arial"/>
        <family val="2"/>
        <charset val="238"/>
      </rPr>
      <t>2</t>
    </r>
    <r>
      <rPr>
        <sz val="11"/>
        <color rgb="FF000000"/>
        <rFont val="Arial"/>
        <family val="2"/>
        <charset val="238"/>
      </rPr>
      <t xml:space="preserve">) na predhodno izravnatoj i pripremljenoj podlozi. 
</t>
    </r>
    <r>
      <rPr>
        <i/>
        <u/>
        <sz val="11"/>
        <color rgb="FF000000"/>
        <rFont val="Arial"/>
        <family val="2"/>
        <charset val="238"/>
      </rPr>
      <t>Okna izvesti prema detaljima iz projektne dokumentacije.</t>
    </r>
    <r>
      <rPr>
        <u/>
        <sz val="11"/>
        <color rgb="FF000000"/>
        <rFont val="Arial"/>
        <family val="2"/>
        <charset val="238"/>
      </rPr>
      <t xml:space="preserve">
</t>
    </r>
    <r>
      <rPr>
        <sz val="11"/>
        <color rgb="FF000000"/>
        <rFont val="Arial"/>
        <family val="2"/>
        <charset val="238"/>
      </rPr>
      <t>Cijenom je obuhvaćena obrada spojeva cijevi i okana, uključujući ugradnju spojnice za izvedbu spoja cijevi i okna. U cijenu stavke uključena izrada, postava i skidanje dvostrane oplate. Jedinična cijena stavke uključuje dobavu i dopremu betona, sve potrebne radove, materijale, pomoćna sredstva i transporte za kompletnu izvedbu stavke.
Obračun po komadu izvedenog okna.</t>
    </r>
  </si>
  <si>
    <r>
      <rPr>
        <b/>
        <sz val="11"/>
        <color rgb="FF000000"/>
        <rFont val="Arial"/>
        <family val="2"/>
        <charset val="238"/>
      </rPr>
      <t>Betoniranje dna i zidova armirano-betonskog slivnika oborinske kanalizacije</t>
    </r>
    <r>
      <rPr>
        <sz val="11"/>
        <color rgb="FF000000"/>
        <rFont val="Arial"/>
        <family val="2"/>
        <charset val="238"/>
      </rPr>
      <t xml:space="preserve"> betonom tlačne čvrstoće C 25/30 u razredu izloženosti XC1. Zidove slivnika izvoditi u dvostranoj oplati uz obavezno pervibriranje. Debljina zidova i dna je 15 cm. Ploču i zidove armirati dvostrano armaturom B500B, što je uključeno u cijenu stavke. Stavkom je obuhvaćena doprema s odlagališta gradilišta do mjesta ugradnje i ugradnja kanalne rešetke sa okvirom koja je obuhvaćena posebnom stavkom ovog troškovnika. Na prethodno zbijenoj podlozi izvodi se donja ploča slivnika. Unutrašnje površine slivnika obraditi cementnim mortom sa zaglađivanjem površine zbog osiguravanja vodonepropusnosti. 
</t>
    </r>
    <r>
      <rPr>
        <i/>
        <u/>
        <sz val="11"/>
        <color rgb="FF000000"/>
        <rFont val="Arial"/>
        <family val="2"/>
        <charset val="238"/>
      </rPr>
      <t>Slivnik izvesti prema detaljima iz projektne dokumentacije.</t>
    </r>
    <r>
      <rPr>
        <i/>
        <sz val="11"/>
        <color rgb="FF000000"/>
        <rFont val="Arial"/>
        <family val="2"/>
        <charset val="238"/>
      </rPr>
      <t xml:space="preserve">
</t>
    </r>
    <r>
      <rPr>
        <sz val="11"/>
        <color rgb="FF000000"/>
        <rFont val="Arial"/>
        <family val="2"/>
        <charset val="238"/>
      </rPr>
      <t>Cijenom je obuhvaćena obrada spojeva cijevi i okana. U cijenu stavke uključena izrada, postava i skidanje dvostrane oplate. Jedinična cijena stavke uključuje dobavu i dopremu betona, sve potrebne radove, materijale, pomoćna sredstva i transporte za kompletnu izvedbu stavke.
Obračun po komadu izvedenog slivnika.</t>
    </r>
  </si>
  <si>
    <r>
      <rPr>
        <b/>
        <sz val="11"/>
        <color rgb="FF000000"/>
        <rFont val="Arial"/>
        <family val="2"/>
        <charset val="238"/>
      </rPr>
      <t xml:space="preserve">Betoniranje dna i zidova armirano-betonskog kanala kišne rešetke </t>
    </r>
    <r>
      <rPr>
        <sz val="11"/>
        <color rgb="FF000000"/>
        <rFont val="Arial"/>
        <family val="2"/>
        <charset val="238"/>
      </rPr>
      <t xml:space="preserve"> betonom tlačne čvrstoće C 25/30 u razredu izloženosti XC1. Zidove kanala izvoditi u dvostranoj oplati uz obavezno pervibriranje. Debljina zidova i dna je 15 cm. Ploču i zidove armirati dvostrano armaturom B500B, što je uključeno u cijenu stavke. Stavkom je obuhvaćena doprema s odlagališta gradilišta do mjesta ugradnje i ugradnja  kišne linijske rešetke sa okvirom koja je obuhvaćena posebnom stavkom ovog troškovnika. Na prethodno zbijenoj podlozi izvodi se kanal kišne rešetke. Unutrašnje površine kanala obraditi cementnim mortom sa zaglađivanjem površine zbog osiguravanja vodonepropusnosti. 
</t>
    </r>
    <r>
      <rPr>
        <i/>
        <u/>
        <sz val="11"/>
        <color rgb="FF000000"/>
        <rFont val="Arial"/>
        <family val="2"/>
        <charset val="238"/>
      </rPr>
      <t>Kanal izvesti prema detaljima iz projektne dokumentacije.</t>
    </r>
    <r>
      <rPr>
        <i/>
        <sz val="11"/>
        <color rgb="FF000000"/>
        <rFont val="Arial"/>
        <family val="2"/>
        <charset val="238"/>
      </rPr>
      <t xml:space="preserve">
</t>
    </r>
    <r>
      <rPr>
        <sz val="11"/>
        <color rgb="FF000000"/>
        <rFont val="Arial"/>
        <family val="2"/>
        <charset val="238"/>
      </rPr>
      <t>U cijenu stavke uključena izrada, postava i skidanje dvostrane oplate te montaža kišne rešetke sa okvirom. Jedinična cijena stavke uključuje dobavu i dopremu betona, sve potrebne radove, materijale, pomoćna sredstva i transporte za kompletnu izvedbu stavke.
Obračun po komadu izvedenog kanala kišne rešetke.</t>
    </r>
  </si>
  <si>
    <t>KR-1:</t>
  </si>
  <si>
    <t>KR-2:</t>
  </si>
  <si>
    <t>KR-3:</t>
  </si>
  <si>
    <t>KR-4:</t>
  </si>
  <si>
    <t>KR-5:</t>
  </si>
  <si>
    <r>
      <t xml:space="preserve">Dobava, prijevoz, isporuka i istovar na odlagalište gradilišta </t>
    </r>
    <r>
      <rPr>
        <b/>
        <sz val="11"/>
        <rFont val="Arial"/>
        <family val="2"/>
        <charset val="238"/>
      </rPr>
      <t>kišne linijske rešetke s okvirom</t>
    </r>
    <r>
      <rPr>
        <sz val="11"/>
        <rFont val="Arial"/>
        <family val="2"/>
        <charset val="238"/>
      </rPr>
      <t xml:space="preserve"> za svijetli otvor </t>
    </r>
    <r>
      <rPr>
        <b/>
        <sz val="11"/>
        <rFont val="Arial"/>
        <family val="2"/>
        <charset val="238"/>
      </rPr>
      <t>50×40 cm</t>
    </r>
    <r>
      <rPr>
        <sz val="11"/>
        <rFont val="Arial"/>
        <family val="2"/>
        <charset val="238"/>
      </rPr>
      <t xml:space="preserve">, osigurana protiv otuđenja i iskakanja, Rešetka mora zadovoljiti Hrvatsku normu i klasu </t>
    </r>
    <r>
      <rPr>
        <b/>
        <sz val="11"/>
        <rFont val="Arial"/>
        <family val="2"/>
        <charset val="238"/>
      </rPr>
      <t>D400</t>
    </r>
    <r>
      <rPr>
        <sz val="11"/>
        <rFont val="Arial"/>
        <family val="2"/>
        <charset val="238"/>
      </rPr>
      <t xml:space="preserve"> prema europskoj normi HRN EN 124 ili jednakovrijedno. Za navedenu rešetku ponuditelj je dužan uz ponudu priložiti potvrdu o sukladnosti od ovlaštene kuće u RH. Predmetna rešetka se postavlja iznad otvora u pokrovnoj ploči revizijskog okna oborinske kanalizacije. </t>
    </r>
  </si>
  <si>
    <t>6.3.</t>
  </si>
  <si>
    <r>
      <rPr>
        <b/>
        <sz val="11"/>
        <color rgb="FF000000"/>
        <rFont val="Arial"/>
        <family val="2"/>
        <charset val="238"/>
      </rPr>
      <t>Izvedba betonskog nadozida</t>
    </r>
    <r>
      <rPr>
        <sz val="11"/>
        <color rgb="FF000000"/>
        <rFont val="Arial"/>
        <family val="2"/>
        <charset val="238"/>
      </rPr>
      <t xml:space="preserve"> na dijelu trase oborinskog kolektora OK-1 na mjestima gdje su postojeći zidovi u razini postojećeg asfalta i gdje dolazi do preljevanja oborina preko zida. Nadozid izvesti u dvostranoj oplati uz obavezno pervibriranje.
Nadozid izvesti od betona C25/30 armiran armaturnom mrežom Q-335, razred čelika za armiranje B500B, visine oko 20 cm. Debljinu zida izvesti prema debljini postojećeg zida, minimalno 15 cm. Zid povezati sa postojećim zidom ankerima Ø 12, duljine sidrenja najmanje 10 cm.
Stavka obuhvaća sve potrebne transporte materijala za kompletnu izvedbu. Beton ugraditi i njegovati prema TPGK. Izradu betonskog nadozida izvesti svemu prema detaljima iz projektne dokumentacije.
U cijenu stavke uključena izrada, postava i skidanje dvostrane oplate te montaža kišne rešetke sa okvirom. Jedinična cijena stavke uključuje dobavu i dopremu betona, sve potrebne radove, materijale, pomoćna sredstva i transporte za kompletnu izvedbu stavke.
Predviđena je izvedba nadozida u duljini od oko 40 m.
Obračun po m³  ugrađenog materijala</t>
    </r>
  </si>
  <si>
    <r>
      <t xml:space="preserve">Dobava, prijevoz, isporuka i istovar na odlagalište gradilišta </t>
    </r>
    <r>
      <rPr>
        <b/>
        <sz val="11"/>
        <rFont val="Arial"/>
        <family val="2"/>
        <charset val="238"/>
      </rPr>
      <t>kišne linijske rešetke s okvirom</t>
    </r>
    <r>
      <rPr>
        <sz val="11"/>
        <rFont val="Arial"/>
        <family val="2"/>
        <charset val="238"/>
      </rPr>
      <t xml:space="preserve"> za svijetli otvor </t>
    </r>
    <r>
      <rPr>
        <b/>
        <sz val="11"/>
        <rFont val="Arial"/>
        <family val="2"/>
        <charset val="238"/>
      </rPr>
      <t>40×80 cm</t>
    </r>
    <r>
      <rPr>
        <sz val="11"/>
        <rFont val="Arial"/>
        <family val="2"/>
        <charset val="238"/>
      </rPr>
      <t xml:space="preserve">, osigurana protiv otuđenja i iskakanja, Rešetka mora zadovoljiti Hrvatsku normu i klasu </t>
    </r>
    <r>
      <rPr>
        <b/>
        <sz val="11"/>
        <rFont val="Arial"/>
        <family val="2"/>
        <charset val="238"/>
      </rPr>
      <t>D250</t>
    </r>
    <r>
      <rPr>
        <sz val="11"/>
        <rFont val="Arial"/>
        <family val="2"/>
        <charset val="238"/>
      </rPr>
      <t xml:space="preserve"> prema europskoj normi HRN EN 124 ili jednakovrijedno. Za navedenu rešetku ponuditelj je dužan uz ponudu priložiti potvrdu o sukladnosti od ovlaštene kuće u RH. Predviđena duljina rešetke minimalno 40 cm. 
</t>
    </r>
    <r>
      <rPr>
        <i/>
        <u/>
        <sz val="11"/>
        <rFont val="Arial"/>
        <family val="2"/>
        <charset val="238"/>
      </rPr>
      <t>Predmetna rešetka se postavlja na slivnik oborinske odvodnje.</t>
    </r>
  </si>
  <si>
    <t>Rešetka 30×50 cm, sa kvadratnim okvirom, klasa D400</t>
  </si>
  <si>
    <r>
      <t xml:space="preserve">Dobava, prijevoz, isporuka i istovar na odlagalište gradilišta </t>
    </r>
    <r>
      <rPr>
        <b/>
        <sz val="11"/>
        <rFont val="Arial"/>
        <family val="2"/>
        <charset val="238"/>
      </rPr>
      <t>kišne linijske rešetke s okvirom</t>
    </r>
    <r>
      <rPr>
        <sz val="11"/>
        <rFont val="Arial"/>
        <family val="2"/>
        <charset val="238"/>
      </rPr>
      <t xml:space="preserve"> za svijetli otvor širine </t>
    </r>
    <r>
      <rPr>
        <b/>
        <sz val="11"/>
        <rFont val="Arial"/>
        <family val="2"/>
        <charset val="238"/>
      </rPr>
      <t>30 cm</t>
    </r>
    <r>
      <rPr>
        <sz val="11"/>
        <rFont val="Arial"/>
        <family val="2"/>
        <charset val="238"/>
      </rPr>
      <t xml:space="preserve">, osigurana protiv otuđenja i iskakanja, Rešetka mora zadovoljiti Hrvatsku normu i klasu </t>
    </r>
    <r>
      <rPr>
        <b/>
        <sz val="11"/>
        <rFont val="Arial"/>
        <family val="2"/>
        <charset val="238"/>
      </rPr>
      <t>D400</t>
    </r>
    <r>
      <rPr>
        <sz val="11"/>
        <rFont val="Arial"/>
        <family val="2"/>
        <charset val="238"/>
      </rPr>
      <t xml:space="preserve"> prema europskoj normi HRN EN 124 ili jednakovrijedno. Za navedenu rešetku ponuditelj je dužan uz ponudu priložiti potvrdu o sukladnosti od ovlaštene kuće u RH. Predviđena duljina rešetke minimalno 50 cm. </t>
    </r>
  </si>
  <si>
    <t>Rešetka 50×40 cm, sa kvadratnim okvirom, klasa D400</t>
  </si>
  <si>
    <t>Rešetka 40×40 cm, sa kvadratnim okvirom, klasa D400</t>
  </si>
  <si>
    <t>Rešetka 50×50 cm, sa kvadratnim okvirom, klasa D400</t>
  </si>
  <si>
    <r>
      <t xml:space="preserve">Dobava, prijevoz, isporuka i istovar na odlagalište gradilišta </t>
    </r>
    <r>
      <rPr>
        <b/>
        <sz val="11"/>
        <rFont val="Arial"/>
        <family val="2"/>
        <charset val="238"/>
      </rPr>
      <t xml:space="preserve">kišne linijske rešetke s okvirom </t>
    </r>
    <r>
      <rPr>
        <sz val="11"/>
        <rFont val="Arial"/>
        <family val="2"/>
        <charset val="238"/>
      </rPr>
      <t xml:space="preserve">za svijetli otvor </t>
    </r>
    <r>
      <rPr>
        <b/>
        <sz val="11"/>
        <rFont val="Arial"/>
        <family val="2"/>
        <charset val="238"/>
      </rPr>
      <t>50 x 200 cm</t>
    </r>
    <r>
      <rPr>
        <sz val="11"/>
        <rFont val="Arial"/>
        <family val="2"/>
        <charset val="238"/>
      </rPr>
      <t xml:space="preserve">, osigurana protiv otuđenja i iskakanja, Rešetka mora zadovoljiti Hrvatsku normu i klasu </t>
    </r>
    <r>
      <rPr>
        <b/>
        <sz val="11"/>
        <rFont val="Arial"/>
        <family val="2"/>
        <charset val="238"/>
      </rPr>
      <t>D400</t>
    </r>
    <r>
      <rPr>
        <sz val="11"/>
        <rFont val="Arial"/>
        <family val="2"/>
        <charset val="238"/>
      </rPr>
      <t xml:space="preserve"> prema europskoj normi HRN EN 124 ili jednakovrijedno. Za navedenu rešetku ponuditelj je dužan uz ponudu priložiti potvrdu o sukladnosti od ovlaštene kuće u RH. Predviđena duljina rešetke minimalno 50 cm. 
</t>
    </r>
    <r>
      <rPr>
        <i/>
        <u/>
        <sz val="11"/>
        <rFont val="Arial"/>
        <family val="2"/>
        <charset val="238"/>
      </rPr>
      <t>Predmetna rešetka se postavlja iznad postojećeg oborinskog kanala kao zamjena za postojeće rešetke. Prije naručivanja rešetke obavezno provjeriti dimenzije postojećeg svijetlog otvora kanala i mogućnost ugradnje nove rešetke.</t>
    </r>
  </si>
  <si>
    <r>
      <t xml:space="preserve">Dobava, prijevoz, isporuka i istovar na odlagalište gradilišta </t>
    </r>
    <r>
      <rPr>
        <b/>
        <sz val="11"/>
        <rFont val="Arial"/>
        <family val="2"/>
        <charset val="238"/>
      </rPr>
      <t xml:space="preserve">kišne linijske rešetke s okvirom </t>
    </r>
    <r>
      <rPr>
        <sz val="11"/>
        <rFont val="Arial"/>
        <family val="2"/>
        <charset val="238"/>
      </rPr>
      <t>za svijetli otvor 6</t>
    </r>
    <r>
      <rPr>
        <b/>
        <sz val="11"/>
        <rFont val="Arial"/>
        <family val="2"/>
        <charset val="238"/>
      </rPr>
      <t>0 x 80 cm</t>
    </r>
    <r>
      <rPr>
        <sz val="11"/>
        <rFont val="Arial"/>
        <family val="2"/>
        <charset val="238"/>
      </rPr>
      <t xml:space="preserve">, osigurana protiv otuđenja i iskakanja, Rešetka mora zadovoljiti Hrvatsku normu i klasu </t>
    </r>
    <r>
      <rPr>
        <b/>
        <sz val="11"/>
        <rFont val="Arial"/>
        <family val="2"/>
        <charset val="238"/>
      </rPr>
      <t>D400</t>
    </r>
    <r>
      <rPr>
        <sz val="11"/>
        <rFont val="Arial"/>
        <family val="2"/>
        <charset val="238"/>
      </rPr>
      <t xml:space="preserve"> prema europskoj normi HRN EN 124 ili jednakovrijedno. Za navedenu rešetku ponuditelj je dužan uz ponudu priložiti potvrdu o sukladnosti od ovlaštene kuće u RH.
</t>
    </r>
    <r>
      <rPr>
        <i/>
        <u/>
        <sz val="11"/>
        <rFont val="Arial"/>
        <family val="2"/>
        <charset val="238"/>
      </rPr>
      <t>Predmetna rešetka se postavlja iznad postojećeg oborinskog kanala kao zamjena za postojeću rešetku. Prije naručivanja rešetke obavezno provjeriti dimenzije postojećeg svijetlog otvora kanala i mogućnost ugradnje nove rešetke.</t>
    </r>
  </si>
  <si>
    <r>
      <rPr>
        <b/>
        <sz val="11"/>
        <rFont val="Arial"/>
        <family val="2"/>
        <charset val="238"/>
      </rPr>
      <t>Obnova betonske površine</t>
    </r>
    <r>
      <rPr>
        <sz val="11"/>
        <rFont val="Arial"/>
        <family val="2"/>
        <charset val="238"/>
      </rPr>
      <t xml:space="preserve"> na dijelovima trase cjevovoda koji su izvedeni na postojećim betonskim površinama.
Izradu betonskih površina obaviti na dobro zbijenoj podlozi, u svemu prema postojećem stanju. Površinu obraditi prema postojećem, odnosno ohrapaviti tvrdom metlom. 
Betonske površine izvoditi u betonu kvalitete C 20/25, debljine 15 cm, armiran armaturnom mrežom Q-335, razred čelika za armiranje B500B.
Stavka obuhvaća sve potrebne transporte materijala za kompletnu izvedbu. Beton ugraditi i njegovati prema TPGK.
Jedinična cijena stavke uključuje sav potreban rad, materijal, pomoćna sredstva i transporte za izvedbu opisanog rada.
Obračun po m</t>
    </r>
    <r>
      <rPr>
        <vertAlign val="superscript"/>
        <sz val="11"/>
        <rFont val="Arial"/>
        <family val="2"/>
        <charset val="238"/>
      </rPr>
      <t>3</t>
    </r>
    <r>
      <rPr>
        <sz val="11"/>
        <rFont val="Arial"/>
        <family val="2"/>
        <charset val="238"/>
      </rPr>
      <t xml:space="preserve"> ugrađenog materijala.</t>
    </r>
  </si>
  <si>
    <r>
      <t>m</t>
    </r>
    <r>
      <rPr>
        <b/>
        <vertAlign val="superscript"/>
        <sz val="11"/>
        <rFont val="Arial"/>
        <family val="2"/>
        <charset val="238"/>
      </rPr>
      <t>3</t>
    </r>
  </si>
  <si>
    <t>Površina betonske površine × debljina sloja betona (15 cm)</t>
  </si>
  <si>
    <r>
      <t xml:space="preserve">Izrada i ugradnja </t>
    </r>
    <r>
      <rPr>
        <b/>
        <sz val="11"/>
        <rFont val="Arial"/>
        <family val="2"/>
        <charset val="238"/>
      </rPr>
      <t>armirano betonskog vijenca za ugradnju poklopca kod okruglih PE kanalizacijskih okana</t>
    </r>
    <r>
      <rPr>
        <sz val="11"/>
        <rFont val="Arial"/>
        <family val="2"/>
        <charset val="238"/>
      </rPr>
      <t xml:space="preserve">, betonom C25/30, XC1. 
Vijenac je vanjskog promjera Ø86 cm, </t>
    </r>
    <r>
      <rPr>
        <sz val="11"/>
        <rFont val="Arial Narrow"/>
        <family val="2"/>
        <charset val="238"/>
      </rPr>
      <t xml:space="preserve">a </t>
    </r>
    <r>
      <rPr>
        <sz val="11"/>
        <rFont val="Arial"/>
        <family val="2"/>
        <charset val="238"/>
      </rPr>
      <t>debljine 10 cm. U sredini ostaviti otvor Ø66 cm za ulaz u okno.
U jediničnu cijenu stavke je uključena i doprema s odlagališta gradilišta i ugradnja okruglog poklopca Ø600 mm sa okruglim okvirom, nosivosti 400 kN. U jediničnu cijenu je uključena izrada, postava i skidanje oplate, potrebna armatura, te sav potreban materijal, rad, pomoćna sredstva i transport za kompletnu izvedbu.
Obračun po komadu.</t>
    </r>
  </si>
  <si>
    <r>
      <t xml:space="preserve">Dobava i doprema na privremeno odlagalište gradilišta </t>
    </r>
    <r>
      <rPr>
        <b/>
        <sz val="11"/>
        <rFont val="Arial"/>
        <family val="2"/>
        <charset val="238"/>
      </rPr>
      <t>kanalskog poklopca od nodularnog lijeva Ø600 mm</t>
    </r>
    <r>
      <rPr>
        <sz val="11"/>
        <rFont val="Arial"/>
        <family val="2"/>
        <charset val="238"/>
      </rPr>
      <t xml:space="preserve"> sa okvirom visine min. 90 mm, nosivosti 400 kN, proizvedenih prema HRN EN 124-2 ili jednakovrijedno. Ležište poklopca na okviru izrađeno je od umjetne mase (elastomera) tako da poklopac potpuno naliježe na okvir, bez mogućnosti pomaka i lupanja. Poklopac mora zadovoljiti Hrvatsku normu i klasu D400 prema europskoj normi HRN EN 124 ili jednakovrijedno. Poklopac mora imati natpis "KANALIZACIJA", a format natpisa na poklopcu mora biti izveden u dogovoru s Investitorom. Za navedeni poklopac ponuditelj je dužan uz ponudu priložiti potvrdu o sukladnosti od ovlaštene kuće u RH.
Obračun po komadu.</t>
    </r>
  </si>
  <si>
    <t>VODOVODNI OGRANAK I KANALIZACIJSKA MREŽA U BANJOLU,
VATROGASNI DOM-BRNI</t>
  </si>
  <si>
    <r>
      <t xml:space="preserve">TROŠKOVNIK
</t>
    </r>
    <r>
      <rPr>
        <b/>
        <sz val="12"/>
        <color theme="1"/>
        <rFont val="Arial"/>
        <family val="2"/>
        <charset val="238"/>
      </rPr>
      <t>(sa cijenama)</t>
    </r>
  </si>
  <si>
    <r>
      <rPr>
        <b/>
        <sz val="11"/>
        <rFont val="Arial"/>
        <family val="2"/>
        <charset val="238"/>
      </rPr>
      <t xml:space="preserve">FF DN 100, L= 800 mm </t>
    </r>
    <r>
      <rPr>
        <sz val="11"/>
        <rFont val="Arial"/>
        <family val="2"/>
        <charset val="238"/>
      </rPr>
      <t>(poz. FF3)</t>
    </r>
  </si>
  <si>
    <r>
      <rPr>
        <b/>
        <sz val="11"/>
        <rFont val="Arial"/>
        <family val="2"/>
        <charset val="238"/>
      </rPr>
      <t xml:space="preserve">Montažno-demontažni komad DN 100 </t>
    </r>
    <r>
      <rPr>
        <sz val="11"/>
        <rFont val="Arial"/>
        <family val="2"/>
        <charset val="238"/>
      </rPr>
      <t>(poz. MDK1)</t>
    </r>
  </si>
  <si>
    <r>
      <rPr>
        <b/>
        <sz val="11"/>
        <rFont val="Arial"/>
        <family val="2"/>
        <charset val="238"/>
      </rPr>
      <t xml:space="preserve">Prirubnička spojnica sa prihvatom za AC cijev DN 100 
PS DN 100 </t>
    </r>
    <r>
      <rPr>
        <sz val="11"/>
        <rFont val="Arial"/>
        <family val="2"/>
        <charset val="238"/>
      </rPr>
      <t>(poz. PS1)</t>
    </r>
  </si>
  <si>
    <r>
      <t xml:space="preserve">Okno VO-1 dim. svijetlog otvora 250×170 cm, h = 180 cm
</t>
    </r>
    <r>
      <rPr>
        <i/>
        <sz val="11"/>
        <color rgb="FF000000"/>
        <rFont val="Arial"/>
        <family val="2"/>
        <charset val="238"/>
      </rPr>
      <t xml:space="preserve">Količine materijala za jedno okno:
- </t>
    </r>
    <r>
      <rPr>
        <sz val="11"/>
        <color rgb="FF000000"/>
        <rFont val="Arial"/>
        <family val="2"/>
        <charset val="238"/>
      </rPr>
      <t>beton za okno C25/30 = 5,92 m³
- armatura B500B = 700 kg
- kameni materijal 0-32 mm = 3,4 m³
- grlo za ugradnju poklopca C 20/25 V=0,25 m</t>
    </r>
    <r>
      <rPr>
        <vertAlign val="superscript"/>
        <sz val="11"/>
        <color rgb="FF000000"/>
        <rFont val="Arial"/>
        <family val="2"/>
        <charset val="238"/>
      </rPr>
      <t>3</t>
    </r>
    <r>
      <rPr>
        <sz val="11"/>
        <color rgb="FF000000"/>
        <rFont val="Arial"/>
        <family val="2"/>
        <charset val="238"/>
      </rPr>
      <t xml:space="preserve">
- ugradnja NL poklopca = 1 kom.
- penjalice: 1 komplet</t>
    </r>
  </si>
  <si>
    <r>
      <t xml:space="preserve">Dobava i doprema  </t>
    </r>
    <r>
      <rPr>
        <b/>
        <sz val="11"/>
        <rFont val="Arial"/>
        <family val="2"/>
        <charset val="238"/>
      </rPr>
      <t>podzemnog hidranta</t>
    </r>
    <r>
      <rPr>
        <sz val="11"/>
        <rFont val="Arial"/>
        <family val="2"/>
        <charset val="238"/>
      </rPr>
      <t>. Hidrant u svemu u skladu s normom HRN EN 14339 ili jednakovrijedno.
Podzemni hidrant lijevanoželjezni, s prirubnicom, zaštićen epoksi bojom prema odabiru Investitora.
Materijal brtvenih elemenata: NBR ili EPDM
Maksimalni ulazni pritisak: 16 bara
Visina hidranta: H = 550 mm
prirubnica po EN 1092-2 ili jednakovrijedno
Na stupu hidranta treba biti ugrađena jedna spojnica: spojnica tipa  tipa Cø50 mm.
Hidrant mora imati siguran i efikasan sistem ispusta vode, kada je hidrant zatvoren, sa mogućnošću odvoda vode cijevima u drenažni kanal.
Podzemni hidrant mora biti adekvatno označen - pločicom za označavanje podzemnog hidranta  u  skladu sa DIN 4066 ili jednakovrijedno, čija je dobava i doprema obuhvaćena ovom stavkom. Pločice moraju odgovarati postojećim pločicam u starogradskoj jezgri, te ih je potrebno ugraditi na isti način kako su ugrađene postojeće. 
Dostaviti dokumentaciju iz koje je vidljivo da su zadovoljeni gore postavljeni uvjeti.</t>
    </r>
  </si>
  <si>
    <t>2.2.8.</t>
  </si>
  <si>
    <t>Uvjete koje, prema tehničkim specifikacijama, mora ispunjavati vodovodni materijal iz ove stavke dokazuju se sljedećim dokumentima:
a) Certifikat o stalnosti svojstava i/ili Izjava o svojstvima
b) Analitičko izvješće Zavoda za javno zdravstvo ili drugog ovlaštenog laboratorija o zdravstvenoj ispravnosti materijala- robe koje dolaze u neposredni dodir s vodom.</t>
  </si>
  <si>
    <r>
      <t xml:space="preserve">Dobava, doprema i istovar na odlagalište gradilišta </t>
    </r>
    <r>
      <rPr>
        <b/>
        <sz val="11"/>
        <rFont val="Arial"/>
        <family val="2"/>
        <charset val="238"/>
      </rPr>
      <t>cestovne kape</t>
    </r>
    <r>
      <rPr>
        <sz val="11"/>
        <rFont val="Arial"/>
        <family val="2"/>
        <charset val="238"/>
      </rPr>
      <t xml:space="preserve"> za podzemni zasun i podzemni hidrant.
Materijal:
- kapa: GG 25 bitumezirani
- poklopac: GG 25 EWS zaštita, sprječavanje ljepljenja poklopca za kapu
Uz cestovnu kapu dolazi odgovarajuća betonska podložna ploča i umetak za podložnu ploču.
Uvjete koje, prema tehničkim specifikacijama, mora ispunjavati vodovodni materijal iz ove stavke dokazuju se sljedećim dokumentima:
a) Certifikat o stalnosti svojstava i/ili Izjava o svojstvima
Obračun po komadu.</t>
    </r>
  </si>
  <si>
    <t>CESTOVNA KAPA ZA PODZEMNI ZASUN (CK1)</t>
  </si>
  <si>
    <t>CESTOVNA KAPA ZA PODZEMNI HIDRANT (CK1)</t>
  </si>
  <si>
    <r>
      <rPr>
        <b/>
        <sz val="11"/>
        <rFont val="Arial"/>
        <family val="2"/>
        <charset val="238"/>
      </rPr>
      <t>Nadzemni protupožarni hidrant</t>
    </r>
    <r>
      <rPr>
        <sz val="11"/>
        <rFont val="Arial"/>
        <family val="2"/>
        <charset val="238"/>
      </rPr>
      <t xml:space="preserve"> duktil, u crvenoj boji, s prirubnicom. (poz. NH1)
Namjena: Pitka voda. DN 80 mm, NP 16 bara, ugradbena mjera dubine ugradnje Rd=1,00m
Na stupu hidranta trebaju biti ugrađene tri (3) spojnice:
- na gornjem dijelu dvije spojnice tipa C Ø 50 mm, prema DIN 14317B48 ili jednakovrijedno
- niže se nalazi spojnica tipa B Ø 65 mm, prema DIN 14318 ili jednakovrijedno 
Hidrant treba biti sa prirubničkom spojnicom prema EN 1092-2 ili jednakovrijedno (DIN 2501 ili jednakovrijedno).
Hidrant treba biti lomljive izvedbe u svom gornjem dijelu.
Hidrant treba biti opremljen s automatskim ispustom vode iz nadzemnog tijela hidranta.</t>
    </r>
  </si>
  <si>
    <r>
      <rPr>
        <b/>
        <sz val="11"/>
        <rFont val="Arial"/>
        <family val="2"/>
        <charset val="238"/>
      </rPr>
      <t xml:space="preserve">Teleskopska ugradbena garnitura za eliptični zasun DN 80 </t>
    </r>
    <r>
      <rPr>
        <sz val="11"/>
        <rFont val="Arial"/>
        <family val="2"/>
        <charset val="238"/>
      </rPr>
      <t>(poz. UG1) Rd=0,70 - 1,00</t>
    </r>
  </si>
  <si>
    <r>
      <rPr>
        <b/>
        <sz val="11"/>
        <rFont val="Arial"/>
        <family val="2"/>
        <charset val="238"/>
      </rPr>
      <t xml:space="preserve">Eliptični zasun sa ručnim kolom DN 100 </t>
    </r>
    <r>
      <rPr>
        <sz val="11"/>
        <rFont val="Arial"/>
        <family val="2"/>
        <charset val="238"/>
      </rPr>
      <t>(poz. Z2)</t>
    </r>
  </si>
  <si>
    <r>
      <rPr>
        <b/>
        <sz val="11"/>
        <rFont val="Arial"/>
        <family val="2"/>
        <charset val="238"/>
      </rPr>
      <t xml:space="preserve">Eliptični zasun za ugradbenu garnituru DN 80 </t>
    </r>
    <r>
      <rPr>
        <sz val="11"/>
        <rFont val="Arial"/>
        <family val="2"/>
        <charset val="238"/>
      </rPr>
      <t>(poz. ZU1)</t>
    </r>
  </si>
  <si>
    <r>
      <rPr>
        <b/>
        <sz val="11"/>
        <rFont val="Arial"/>
        <family val="2"/>
        <charset val="238"/>
      </rPr>
      <t xml:space="preserve">T DN 100/80 </t>
    </r>
    <r>
      <rPr>
        <sz val="11"/>
        <rFont val="Arial"/>
        <family val="2"/>
        <charset val="238"/>
      </rPr>
      <t>(poz. T1)</t>
    </r>
  </si>
  <si>
    <r>
      <rPr>
        <b/>
        <sz val="11"/>
        <rFont val="Arial"/>
        <family val="2"/>
        <charset val="238"/>
      </rPr>
      <t xml:space="preserve">T DN 100/100 </t>
    </r>
    <r>
      <rPr>
        <sz val="11"/>
        <rFont val="Arial"/>
        <family val="2"/>
        <charset val="238"/>
      </rPr>
      <t>(poz.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</si>
</sst>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 _k_n_-;\-* #,##0.00\ _k_n_-;_-* &quot;-&quot;??\ _k_n_-;_-@_-"/>
    <numFmt numFmtId="165" formatCode="0.0"/>
    <numFmt numFmtId="166" formatCode="0.00&quot; m'&quot;"/>
    <numFmt numFmtId="167" formatCode="0&quot; kom.&quot;"/>
    <numFmt numFmtId="168" formatCode="0.00&quot; m³&quot;"/>
    <numFmt numFmtId="169" formatCode="0;[Red]0"/>
    <numFmt numFmtId="170" formatCode="#,##0.00;[Red]#,##0.00"/>
    <numFmt numFmtId="171" formatCode="0.00&quot; m²&quot;"/>
    <numFmt numFmtId="172" formatCode="_-* #,##0.00_-;\-* #,##0.00_-;_-* \-??_-;_-@_-"/>
    <numFmt numFmtId="173" formatCode="@\ &quot;*&quot;"/>
    <numFmt numFmtId="174" formatCode="0.00;[Red]0.00"/>
    <numFmt numFmtId="175" formatCode="_-* #,##0\ _$_-;\-* #,##0\ _$_-;_-* &quot;-&quot;\ _$_-;_-@_-"/>
    <numFmt numFmtId="176" formatCode="&quot;Yes&quot;;&quot;Yes&quot;;&quot;No&quot;"/>
    <numFmt numFmtId="177" formatCode="0&quot; m'&quot;"/>
  </numFmts>
  <fonts count="58">
    <font>
      <sz val="11"/>
      <color theme="1"/>
      <name val="Arial"/>
      <family val="2"/>
      <charset val="238"/>
    </font>
    <font>
      <sz val="11"/>
      <color theme="1"/>
      <name val="Arial"/>
      <family val="2"/>
      <charset val="238"/>
    </font>
    <font>
      <sz val="11"/>
      <color rgb="FFFF0000"/>
      <name val="Arial"/>
      <family val="2"/>
      <charset val="238"/>
    </font>
    <font>
      <sz val="10"/>
      <name val="Arial"/>
      <family val="2"/>
      <charset val="238"/>
    </font>
    <font>
      <b/>
      <sz val="11"/>
      <name val="Arial"/>
      <family val="2"/>
      <charset val="238"/>
    </font>
    <font>
      <i/>
      <sz val="11"/>
      <name val="Arial"/>
      <family val="2"/>
      <charset val="238"/>
    </font>
    <font>
      <b/>
      <sz val="12"/>
      <name val="Arial"/>
      <family val="2"/>
      <charset val="238"/>
    </font>
    <font>
      <sz val="12"/>
      <name val="Arial"/>
      <family val="2"/>
      <charset val="238"/>
    </font>
    <font>
      <sz val="11"/>
      <name val="Arial"/>
      <family val="2"/>
      <charset val="238"/>
    </font>
    <font>
      <u/>
      <sz val="11"/>
      <name val="Arial"/>
      <family val="2"/>
      <charset val="238"/>
    </font>
    <font>
      <b/>
      <u/>
      <sz val="11"/>
      <name val="Arial"/>
      <family val="2"/>
      <charset val="238"/>
    </font>
    <font>
      <b/>
      <sz val="16"/>
      <color theme="1"/>
      <name val="Arial"/>
      <family val="2"/>
      <charset val="238"/>
    </font>
    <font>
      <b/>
      <sz val="14"/>
      <color theme="1"/>
      <name val="Arial"/>
      <family val="2"/>
      <charset val="238"/>
    </font>
    <font>
      <sz val="12"/>
      <color theme="1"/>
      <name val="Arial"/>
      <family val="2"/>
      <charset val="238"/>
    </font>
    <font>
      <b/>
      <sz val="12"/>
      <color theme="1"/>
      <name val="Arial"/>
      <family val="2"/>
      <charset val="238"/>
    </font>
    <font>
      <sz val="11"/>
      <name val="Times New Roman CE"/>
      <family val="1"/>
      <charset val="238"/>
    </font>
    <font>
      <sz val="11"/>
      <name val="Arial CE"/>
      <charset val="238"/>
    </font>
    <font>
      <sz val="11"/>
      <name val="Times New Roman CE"/>
      <charset val="238"/>
    </font>
    <font>
      <sz val="12"/>
      <name val="Times New Roman CE"/>
      <family val="1"/>
      <charset val="238"/>
    </font>
    <font>
      <sz val="8"/>
      <name val="Arial"/>
      <family val="2"/>
    </font>
    <font>
      <b/>
      <u/>
      <sz val="10"/>
      <name val="Arial"/>
      <family val="2"/>
    </font>
    <font>
      <sz val="9"/>
      <name val="Arial CE"/>
      <family val="2"/>
      <charset val="238"/>
    </font>
    <font>
      <sz val="11"/>
      <color theme="1"/>
      <name val="Calibri"/>
      <family val="2"/>
      <charset val="238"/>
      <scheme val="minor"/>
    </font>
    <font>
      <sz val="11"/>
      <color indexed="8"/>
      <name val="Calibri"/>
      <family val="2"/>
      <charset val="238"/>
    </font>
    <font>
      <sz val="11"/>
      <color theme="1"/>
      <name val="Calibri"/>
      <family val="2"/>
      <scheme val="minor"/>
    </font>
    <font>
      <sz val="11"/>
      <color indexed="8"/>
      <name val="Calibri"/>
      <family val="2"/>
    </font>
    <font>
      <sz val="12"/>
      <name val="Arial CE"/>
      <charset val="238"/>
    </font>
    <font>
      <sz val="10"/>
      <name val="Arial CE"/>
      <charset val="238"/>
    </font>
    <font>
      <sz val="10"/>
      <name val="Sun DRACO"/>
      <family val="3"/>
    </font>
    <font>
      <sz val="11"/>
      <name val="Arial Narrow"/>
      <family val="2"/>
      <charset val="238"/>
    </font>
    <font>
      <sz val="10"/>
      <name val="Helv"/>
    </font>
    <font>
      <b/>
      <sz val="10"/>
      <name val="Arial"/>
      <family val="2"/>
      <charset val="238"/>
    </font>
    <font>
      <b/>
      <sz val="14"/>
      <name val="Arial"/>
      <family val="2"/>
      <charset val="238"/>
    </font>
    <font>
      <b/>
      <sz val="14"/>
      <color rgb="FFFF0000"/>
      <name val="Arial"/>
      <family val="2"/>
      <charset val="238"/>
    </font>
    <font>
      <b/>
      <sz val="13"/>
      <name val="Arial"/>
      <family val="2"/>
      <charset val="238"/>
    </font>
    <font>
      <b/>
      <i/>
      <sz val="10"/>
      <name val="Arial"/>
      <family val="2"/>
      <charset val="238"/>
    </font>
    <font>
      <i/>
      <sz val="10"/>
      <name val="Arial"/>
      <family val="2"/>
      <charset val="238"/>
    </font>
    <font>
      <sz val="10"/>
      <name val="Arial"/>
      <family val="2"/>
      <charset val="238"/>
    </font>
    <font>
      <sz val="11"/>
      <color rgb="FF000000"/>
      <name val="Arial"/>
      <family val="2"/>
      <charset val="238"/>
    </font>
    <font>
      <b/>
      <sz val="11"/>
      <color rgb="FFFF0000"/>
      <name val="Arial"/>
      <family val="2"/>
      <charset val="238"/>
    </font>
    <font>
      <b/>
      <sz val="12"/>
      <color rgb="FFFF0000"/>
      <name val="Arial"/>
      <family val="2"/>
      <charset val="238"/>
    </font>
    <font>
      <b/>
      <sz val="11"/>
      <color rgb="FFFF0000"/>
      <name val="Arial Narrow"/>
      <family val="2"/>
      <charset val="238"/>
    </font>
    <font>
      <sz val="10"/>
      <color rgb="FFFF0000"/>
      <name val="Arial"/>
      <family val="2"/>
      <charset val="238"/>
    </font>
    <font>
      <b/>
      <sz val="10"/>
      <color rgb="FFFF0000"/>
      <name val="Arial"/>
      <family val="2"/>
      <charset val="238"/>
    </font>
    <font>
      <vertAlign val="subscript"/>
      <sz val="11"/>
      <name val="Arial"/>
      <family val="2"/>
      <charset val="238"/>
    </font>
    <font>
      <sz val="11"/>
      <name val="Calibri"/>
      <family val="2"/>
      <charset val="238"/>
    </font>
    <font>
      <b/>
      <sz val="11"/>
      <color rgb="FF000000"/>
      <name val="Arial"/>
      <family val="2"/>
      <charset val="238"/>
    </font>
    <font>
      <i/>
      <sz val="11"/>
      <color rgb="FF000000"/>
      <name val="Arial"/>
      <family val="2"/>
      <charset val="238"/>
    </font>
    <font>
      <vertAlign val="superscript"/>
      <sz val="11"/>
      <color rgb="FF000000"/>
      <name val="Arial"/>
      <family val="2"/>
      <charset val="238"/>
    </font>
    <font>
      <b/>
      <vertAlign val="subscript"/>
      <sz val="11"/>
      <name val="Arial"/>
      <family val="2"/>
      <charset val="238"/>
    </font>
    <font>
      <i/>
      <u/>
      <sz val="11"/>
      <color rgb="FF000000"/>
      <name val="Arial"/>
      <family val="2"/>
      <charset val="238"/>
    </font>
    <font>
      <u/>
      <sz val="11"/>
      <color rgb="FF000000"/>
      <name val="Arial"/>
      <family val="2"/>
      <charset val="238"/>
    </font>
    <font>
      <i/>
      <u/>
      <sz val="11"/>
      <name val="Arial"/>
      <family val="2"/>
      <charset val="238"/>
    </font>
    <font>
      <sz val="14"/>
      <name val="Arial"/>
      <family val="2"/>
      <charset val="238"/>
    </font>
    <font>
      <vertAlign val="superscript"/>
      <sz val="11"/>
      <name val="Arial"/>
      <family val="2"/>
      <charset val="238"/>
    </font>
    <font>
      <b/>
      <vertAlign val="superscript"/>
      <sz val="11"/>
      <name val="Arial"/>
      <family val="2"/>
      <charset val="238"/>
    </font>
    <font>
      <b/>
      <sz val="20"/>
      <color theme="1"/>
      <name val="Arial"/>
      <family val="2"/>
      <charset val="238"/>
    </font>
    <font>
      <b/>
      <sz val="16"/>
      <name val="Arial"/>
      <family val="2"/>
      <charset val="238"/>
    </font>
  </fonts>
  <fills count="5">
    <fill>
      <patternFill patternType="none"/>
    </fill>
    <fill>
      <patternFill patternType="gray125"/>
    </fill>
    <fill>
      <patternFill patternType="solid">
        <fgColor indexed="49"/>
        <bgColor indexed="40"/>
      </patternFill>
    </fill>
    <fill>
      <patternFill patternType="gray0625"/>
    </fill>
    <fill>
      <patternFill patternType="solid">
        <fgColor indexed="27"/>
        <bgColor indexed="41"/>
      </patternFill>
    </fill>
  </fills>
  <borders count="6">
    <border>
      <left/>
      <right/>
      <top/>
      <bottom/>
      <diagonal/>
    </border>
    <border>
      <left/>
      <right/>
      <top style="thin">
        <color indexed="64"/>
      </top>
      <bottom/>
      <diagonal/>
    </border>
    <border>
      <left/>
      <right/>
      <top/>
      <bottom style="thin">
        <color indexed="64"/>
      </bottom>
      <diagonal/>
    </border>
    <border>
      <left/>
      <right/>
      <top style="hair">
        <color indexed="64"/>
      </top>
      <bottom style="hair">
        <color indexed="64"/>
      </bottom>
      <diagonal/>
    </border>
    <border>
      <left/>
      <right/>
      <top style="hair">
        <color indexed="8"/>
      </top>
      <bottom style="hair">
        <color indexed="8"/>
      </bottom>
      <diagonal/>
    </border>
    <border>
      <left/>
      <right/>
      <top/>
      <bottom style="double">
        <color indexed="64"/>
      </bottom>
      <diagonal/>
    </border>
  </borders>
  <cellStyleXfs count="310">
    <xf numFmtId="0" fontId="0" fillId="0" borderId="0"/>
    <xf numFmtId="164" fontId="1" fillId="0" borderId="0" applyFont="0" applyFill="0" applyBorder="0" applyAlignment="0" applyProtection="0"/>
    <xf numFmtId="0" fontId="3" fillId="0" borderId="0"/>
    <xf numFmtId="0" fontId="3" fillId="0" borderId="0"/>
    <xf numFmtId="0" fontId="3" fillId="0" borderId="0"/>
    <xf numFmtId="166" fontId="8" fillId="0" borderId="0">
      <alignment horizontal="left" vertical="top"/>
    </xf>
    <xf numFmtId="167" fontId="8" fillId="0" borderId="0">
      <alignment horizontal="justify" vertical="top"/>
    </xf>
    <xf numFmtId="0" fontId="8" fillId="0" borderId="0">
      <alignment horizontal="justify" vertical="top"/>
    </xf>
    <xf numFmtId="168" fontId="8" fillId="0" borderId="0">
      <alignment horizontal="left" vertical="top"/>
    </xf>
    <xf numFmtId="171" fontId="8" fillId="0" borderId="0">
      <alignment horizontal="justify" vertical="top"/>
    </xf>
    <xf numFmtId="43"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5" fillId="0" borderId="0" applyFill="0" applyBorder="0" applyProtection="0">
      <alignment wrapText="1"/>
    </xf>
    <xf numFmtId="0"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15" fillId="0" borderId="0" applyFill="0" applyBorder="0" applyProtection="0">
      <alignment wrapText="1"/>
    </xf>
    <xf numFmtId="164" fontId="3" fillId="0" borderId="0" applyFont="0" applyFill="0" applyBorder="0" applyAlignment="0" applyProtection="0"/>
    <xf numFmtId="164" fontId="3" fillId="0" borderId="0" applyFont="0" applyFill="0" applyBorder="0" applyAlignment="0" applyProtection="0"/>
    <xf numFmtId="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6" fillId="0" borderId="0" applyFont="0" applyFill="0" applyBorder="0" applyAlignment="0" applyProtection="0"/>
    <xf numFmtId="172" fontId="17" fillId="0" borderId="0" applyFill="0" applyBorder="0" applyProtection="0">
      <alignment wrapText="1"/>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 fontId="3" fillId="0" borderId="0">
      <alignment horizontal="left" vertical="top"/>
    </xf>
    <xf numFmtId="0" fontId="18" fillId="0" borderId="0">
      <alignment horizontal="justify" vertical="top" wrapText="1"/>
    </xf>
    <xf numFmtId="4" fontId="18" fillId="0" borderId="0">
      <alignment horizontal="right" wrapText="1"/>
    </xf>
    <xf numFmtId="0" fontId="18" fillId="0" borderId="0">
      <alignment horizontal="right"/>
    </xf>
    <xf numFmtId="49" fontId="19" fillId="0" borderId="0">
      <alignment horizontal="left" vertical="top" wrapText="1"/>
      <protection locked="0"/>
    </xf>
    <xf numFmtId="173" fontId="20" fillId="3" borderId="3">
      <alignment horizontal="left" vertical="center"/>
    </xf>
    <xf numFmtId="0" fontId="21" fillId="0" borderId="0">
      <alignment horizontal="left" vertical="top"/>
    </xf>
    <xf numFmtId="0" fontId="3" fillId="0" borderId="0"/>
    <xf numFmtId="0" fontId="3" fillId="0" borderId="0"/>
    <xf numFmtId="0" fontId="3" fillId="0" borderId="0"/>
    <xf numFmtId="0" fontId="22" fillId="0" borderId="0"/>
    <xf numFmtId="0" fontId="23" fillId="0" borderId="0"/>
    <xf numFmtId="0" fontId="24" fillId="0" borderId="0"/>
    <xf numFmtId="0" fontId="25" fillId="0" borderId="0"/>
    <xf numFmtId="0" fontId="17" fillId="0" borderId="0">
      <alignment wrapText="1"/>
    </xf>
    <xf numFmtId="49" fontId="16" fillId="0" borderId="0">
      <alignment horizontal="justify" vertical="justify" wrapText="1"/>
      <protection locked="0"/>
    </xf>
    <xf numFmtId="174" fontId="3" fillId="0" borderId="0"/>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3" fillId="0" borderId="0"/>
    <xf numFmtId="0" fontId="21" fillId="0" borderId="0">
      <alignment horizontal="left" vertical="top"/>
    </xf>
    <xf numFmtId="0" fontId="3" fillId="0" borderId="0"/>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21" fillId="0" borderId="0">
      <alignment horizontal="left" vertical="top"/>
    </xf>
    <xf numFmtId="0" fontId="27" fillId="0" borderId="0"/>
    <xf numFmtId="0" fontId="27" fillId="0" borderId="0"/>
    <xf numFmtId="0" fontId="27" fillId="0" borderId="0"/>
    <xf numFmtId="0" fontId="27"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alignment horizontal="left" vertical="top"/>
    </xf>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alignment horizontal="lef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alignment horizontal="lef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alignment horizontal="lef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9" fontId="3" fillId="0" borderId="0" applyFont="0" applyFill="0" applyBorder="0" applyAlignment="0" applyProtection="0"/>
    <xf numFmtId="0" fontId="29" fillId="0" borderId="0">
      <alignment horizontal="justify" vertical="top" wrapText="1"/>
    </xf>
    <xf numFmtId="0" fontId="30" fillId="0" borderId="0"/>
    <xf numFmtId="172" fontId="31" fillId="4" borderId="4">
      <alignment vertical="center"/>
    </xf>
    <xf numFmtId="175" fontId="31" fillId="4" borderId="4">
      <alignment vertical="center"/>
    </xf>
    <xf numFmtId="176" fontId="17" fillId="0" borderId="0" applyFont="0" applyFill="0" applyBorder="0" applyAlignment="0" applyProtection="0"/>
    <xf numFmtId="172" fontId="17" fillId="0" borderId="0" applyFont="0" applyFill="0" applyBorder="0" applyAlignment="0" applyProtection="0"/>
    <xf numFmtId="0" fontId="3" fillId="0" borderId="0"/>
    <xf numFmtId="0" fontId="1" fillId="0" borderId="0"/>
    <xf numFmtId="0" fontId="37" fillId="0" borderId="0"/>
    <xf numFmtId="174" fontId="3" fillId="0" borderId="0"/>
  </cellStyleXfs>
  <cellXfs count="439">
    <xf numFmtId="0" fontId="0" fillId="0" borderId="0" xfId="0"/>
    <xf numFmtId="0" fontId="4" fillId="0" borderId="0" xfId="2" applyFont="1" applyAlignment="1">
      <alignment vertical="top"/>
    </xf>
    <xf numFmtId="0" fontId="7" fillId="0" borderId="0" xfId="2" applyFont="1" applyAlignment="1">
      <alignment horizontal="center" vertical="top"/>
    </xf>
    <xf numFmtId="0" fontId="6" fillId="0" borderId="0" xfId="2" applyFont="1" applyAlignment="1">
      <alignment horizontal="justify" vertical="top"/>
    </xf>
    <xf numFmtId="0" fontId="8" fillId="0" borderId="0" xfId="2" applyFont="1" applyAlignment="1">
      <alignment horizontal="center" vertical="top"/>
    </xf>
    <xf numFmtId="2" fontId="8" fillId="0" borderId="0" xfId="2" applyNumberFormat="1" applyFont="1" applyAlignment="1">
      <alignment horizontal="center" vertical="top"/>
    </xf>
    <xf numFmtId="4" fontId="8" fillId="0" borderId="0" xfId="0" applyNumberFormat="1" applyFont="1" applyAlignment="1">
      <alignment vertical="top"/>
    </xf>
    <xf numFmtId="0" fontId="4" fillId="0" borderId="0" xfId="2" applyFont="1" applyAlignment="1">
      <alignment horizontal="center" vertical="top"/>
    </xf>
    <xf numFmtId="0" fontId="8" fillId="0" borderId="0" xfId="0" applyFont="1" applyAlignment="1">
      <alignment horizontal="right" vertical="top"/>
    </xf>
    <xf numFmtId="0" fontId="8" fillId="0" borderId="0" xfId="0" applyFont="1" applyAlignment="1">
      <alignment horizontal="justify" vertical="top" wrapText="1"/>
    </xf>
    <xf numFmtId="0" fontId="8" fillId="0" borderId="0" xfId="0" applyFont="1" applyAlignment="1">
      <alignment horizontal="center" vertical="top"/>
    </xf>
    <xf numFmtId="2" fontId="8" fillId="0" borderId="0" xfId="1" applyNumberFormat="1" applyFont="1" applyFill="1" applyBorder="1" applyAlignment="1" applyProtection="1">
      <alignment horizontal="right" vertical="top"/>
    </xf>
    <xf numFmtId="0" fontId="3" fillId="0" borderId="0" xfId="0" applyFont="1"/>
    <xf numFmtId="0" fontId="4" fillId="0" borderId="0" xfId="2" applyFont="1" applyAlignment="1">
      <alignment horizontal="right" vertical="top"/>
    </xf>
    <xf numFmtId="0" fontId="4" fillId="0" borderId="0" xfId="2" quotePrefix="1" applyFont="1" applyAlignment="1">
      <alignment horizontal="center" vertical="top"/>
    </xf>
    <xf numFmtId="4" fontId="4" fillId="0" borderId="0" xfId="0" applyNumberFormat="1" applyFont="1" applyAlignment="1">
      <alignment vertical="top"/>
    </xf>
    <xf numFmtId="0" fontId="8" fillId="0" borderId="0" xfId="2" applyFont="1" applyAlignment="1">
      <alignment horizontal="right" vertical="top"/>
    </xf>
    <xf numFmtId="0" fontId="8" fillId="0" borderId="0" xfId="2" applyFont="1" applyAlignment="1">
      <alignment horizontal="justify" vertical="top"/>
    </xf>
    <xf numFmtId="4" fontId="8" fillId="0" borderId="0" xfId="2" applyNumberFormat="1" applyFont="1" applyAlignment="1">
      <alignment vertical="top"/>
    </xf>
    <xf numFmtId="0" fontId="4" fillId="0" borderId="0" xfId="0" applyFont="1" applyAlignment="1">
      <alignment horizontal="justify" vertical="top" wrapText="1"/>
    </xf>
    <xf numFmtId="4" fontId="8" fillId="0" borderId="0" xfId="1" applyNumberFormat="1" applyFont="1" applyFill="1" applyBorder="1" applyAlignment="1">
      <alignment horizontal="right" vertical="top"/>
    </xf>
    <xf numFmtId="0" fontId="8" fillId="0" borderId="0" xfId="2" applyFont="1" applyAlignment="1">
      <alignment horizontal="justify" vertical="top" wrapText="1"/>
    </xf>
    <xf numFmtId="0" fontId="4" fillId="0" borderId="0" xfId="3" applyFont="1" applyAlignment="1">
      <alignment horizontal="center" vertical="top"/>
    </xf>
    <xf numFmtId="0" fontId="8" fillId="0" borderId="0" xfId="3" applyFont="1" applyAlignment="1">
      <alignment horizontal="right" vertical="top"/>
    </xf>
    <xf numFmtId="0" fontId="8" fillId="0" borderId="0" xfId="3" applyFont="1" applyAlignment="1">
      <alignment horizontal="center" vertical="top"/>
    </xf>
    <xf numFmtId="4" fontId="8" fillId="0" borderId="0" xfId="3" applyNumberFormat="1" applyFont="1" applyAlignment="1">
      <alignment vertical="top"/>
    </xf>
    <xf numFmtId="4" fontId="4" fillId="0" borderId="1" xfId="3" applyNumberFormat="1" applyFont="1" applyBorder="1" applyAlignment="1">
      <alignment horizontal="justify" vertical="top"/>
    </xf>
    <xf numFmtId="2" fontId="4" fillId="0" borderId="0" xfId="2" applyNumberFormat="1" applyFont="1" applyAlignment="1">
      <alignment horizontal="center" vertical="top"/>
    </xf>
    <xf numFmtId="4" fontId="8" fillId="0" borderId="0" xfId="2" applyNumberFormat="1" applyFont="1" applyAlignment="1">
      <alignment horizontal="center" vertical="top"/>
    </xf>
    <xf numFmtId="0" fontId="8" fillId="0" borderId="0" xfId="3" applyFont="1" applyAlignment="1">
      <alignment horizontal="justify" vertical="top" wrapText="1"/>
    </xf>
    <xf numFmtId="0" fontId="4" fillId="0" borderId="0" xfId="0" applyFont="1" applyAlignment="1">
      <alignment horizontal="center" vertical="top"/>
    </xf>
    <xf numFmtId="2" fontId="8" fillId="0" borderId="0" xfId="3" applyNumberFormat="1" applyFont="1" applyAlignment="1">
      <alignment horizontal="justify" vertical="top" wrapText="1"/>
    </xf>
    <xf numFmtId="164" fontId="8" fillId="0" borderId="0" xfId="1" applyFont="1" applyFill="1" applyBorder="1" applyAlignment="1" applyProtection="1">
      <alignment horizontal="right" vertical="top"/>
    </xf>
    <xf numFmtId="0" fontId="4" fillId="0" borderId="0" xfId="3" applyFont="1" applyAlignment="1">
      <alignment horizontal="right" vertical="top"/>
    </xf>
    <xf numFmtId="49" fontId="8" fillId="0" borderId="0" xfId="3" applyNumberFormat="1" applyFont="1" applyAlignment="1">
      <alignment horizontal="right" vertical="top"/>
    </xf>
    <xf numFmtId="0" fontId="4" fillId="0" borderId="0" xfId="3" applyFont="1" applyAlignment="1">
      <alignment horizontal="justify" vertical="top"/>
    </xf>
    <xf numFmtId="0" fontId="4" fillId="0" borderId="0" xfId="0" applyFont="1" applyAlignment="1">
      <alignment horizontal="right" vertical="top"/>
    </xf>
    <xf numFmtId="1" fontId="4" fillId="0" borderId="0" xfId="0" applyNumberFormat="1" applyFont="1" applyAlignment="1">
      <alignment horizontal="center" vertical="top"/>
    </xf>
    <xf numFmtId="43" fontId="8" fillId="0" borderId="0" xfId="1" applyNumberFormat="1" applyFont="1" applyFill="1" applyAlignment="1">
      <alignment horizontal="right" vertical="top"/>
    </xf>
    <xf numFmtId="0" fontId="8" fillId="0" borderId="0" xfId="0" applyFont="1" applyAlignment="1">
      <alignment wrapText="1"/>
    </xf>
    <xf numFmtId="3" fontId="4" fillId="0" borderId="0" xfId="0" applyNumberFormat="1" applyFont="1" applyAlignment="1">
      <alignment horizontal="center" vertical="top"/>
    </xf>
    <xf numFmtId="0" fontId="4" fillId="0" borderId="0" xfId="0" applyFont="1" applyAlignment="1">
      <alignment vertical="center" wrapText="1"/>
    </xf>
    <xf numFmtId="4" fontId="8" fillId="0" borderId="0" xfId="0" applyNumberFormat="1" applyFont="1" applyAlignment="1">
      <alignment horizontal="right" vertical="top"/>
    </xf>
    <xf numFmtId="0" fontId="8" fillId="0" borderId="0" xfId="0" applyFont="1"/>
    <xf numFmtId="0" fontId="8" fillId="0" borderId="0" xfId="3" applyFont="1" applyAlignment="1">
      <alignment vertical="center"/>
    </xf>
    <xf numFmtId="0" fontId="4" fillId="0" borderId="0" xfId="3" applyFont="1" applyAlignment="1">
      <alignment vertical="top"/>
    </xf>
    <xf numFmtId="0" fontId="4" fillId="0" borderId="0" xfId="3" quotePrefix="1" applyFont="1" applyAlignment="1">
      <alignment horizontal="center" vertical="top"/>
    </xf>
    <xf numFmtId="0" fontId="4" fillId="0" borderId="0" xfId="3" applyFont="1" applyAlignment="1">
      <alignment vertical="center"/>
    </xf>
    <xf numFmtId="0" fontId="8" fillId="0" borderId="0" xfId="0" quotePrefix="1" applyFont="1" applyAlignment="1">
      <alignment horizontal="justify" vertical="top" wrapText="1"/>
    </xf>
    <xf numFmtId="0" fontId="4" fillId="0" borderId="0" xfId="3" applyFont="1" applyAlignment="1">
      <alignment horizontal="justify" vertical="top" wrapText="1"/>
    </xf>
    <xf numFmtId="0" fontId="8" fillId="0" borderId="1" xfId="2" applyFont="1" applyBorder="1" applyAlignment="1">
      <alignment horizontal="right" vertical="top"/>
    </xf>
    <xf numFmtId="0" fontId="8" fillId="0" borderId="1" xfId="2" applyFont="1" applyBorder="1" applyAlignment="1">
      <alignment horizontal="justify" vertical="top"/>
    </xf>
    <xf numFmtId="0" fontId="8" fillId="0" borderId="1" xfId="2" applyFont="1" applyBorder="1" applyAlignment="1">
      <alignment horizontal="center" vertical="top"/>
    </xf>
    <xf numFmtId="4" fontId="8" fillId="0" borderId="1" xfId="2" applyNumberFormat="1" applyFont="1" applyBorder="1" applyAlignment="1">
      <alignment vertical="top"/>
    </xf>
    <xf numFmtId="0" fontId="6" fillId="0" borderId="0" xfId="2" applyFont="1" applyAlignment="1">
      <alignment horizontal="center" vertical="top"/>
    </xf>
    <xf numFmtId="0" fontId="6" fillId="0" borderId="0" xfId="2" applyFont="1" applyAlignment="1">
      <alignment horizontal="right" vertical="top"/>
    </xf>
    <xf numFmtId="4" fontId="6" fillId="0" borderId="0" xfId="2" applyNumberFormat="1" applyFont="1" applyAlignment="1" applyProtection="1">
      <alignment horizontal="center" vertical="top"/>
      <protection locked="0"/>
    </xf>
    <xf numFmtId="4" fontId="6" fillId="0" borderId="0" xfId="2" applyNumberFormat="1" applyFont="1" applyAlignment="1">
      <alignment vertical="top"/>
    </xf>
    <xf numFmtId="0" fontId="8" fillId="0" borderId="2" xfId="2" applyFont="1" applyBorder="1" applyAlignment="1">
      <alignment horizontal="right" vertical="top"/>
    </xf>
    <xf numFmtId="0" fontId="8" fillId="0" borderId="2" xfId="2" applyFont="1" applyBorder="1" applyAlignment="1">
      <alignment horizontal="justify" vertical="top"/>
    </xf>
    <xf numFmtId="0" fontId="8" fillId="0" borderId="2" xfId="2" applyFont="1" applyBorder="1" applyAlignment="1">
      <alignment horizontal="center" vertical="top"/>
    </xf>
    <xf numFmtId="4" fontId="8" fillId="0" borderId="2" xfId="2" applyNumberFormat="1" applyFont="1" applyBorder="1" applyAlignment="1">
      <alignment vertical="top"/>
    </xf>
    <xf numFmtId="0" fontId="7" fillId="0" borderId="0" xfId="2" applyFont="1" applyAlignment="1">
      <alignment horizontal="right" vertical="top"/>
    </xf>
    <xf numFmtId="4" fontId="8" fillId="0" borderId="0" xfId="3" applyNumberFormat="1" applyFont="1" applyAlignment="1">
      <alignment horizontal="center" vertical="top"/>
    </xf>
    <xf numFmtId="4" fontId="8" fillId="0" borderId="0" xfId="3" applyNumberFormat="1" applyFont="1" applyAlignment="1">
      <alignment horizontal="left" vertical="top"/>
    </xf>
    <xf numFmtId="4" fontId="7" fillId="0" borderId="0" xfId="2" applyNumberFormat="1" applyFont="1" applyAlignment="1">
      <alignment horizontal="right" vertical="top"/>
    </xf>
    <xf numFmtId="4" fontId="4" fillId="0" borderId="0" xfId="0" applyNumberFormat="1" applyFont="1" applyAlignment="1">
      <alignment horizontal="right" vertical="top"/>
    </xf>
    <xf numFmtId="4" fontId="8" fillId="0" borderId="0" xfId="2" applyNumberFormat="1" applyFont="1" applyAlignment="1">
      <alignment horizontal="right" vertical="top"/>
    </xf>
    <xf numFmtId="4" fontId="8" fillId="0" borderId="0" xfId="3" applyNumberFormat="1" applyFont="1" applyAlignment="1">
      <alignment horizontal="right" vertical="top"/>
    </xf>
    <xf numFmtId="4" fontId="8" fillId="0" borderId="0" xfId="0" applyNumberFormat="1" applyFont="1" applyAlignment="1">
      <alignment horizontal="right" vertical="top" wrapText="1"/>
    </xf>
    <xf numFmtId="4" fontId="8" fillId="0" borderId="1" xfId="2" applyNumberFormat="1" applyFont="1" applyBorder="1" applyAlignment="1">
      <alignment horizontal="right" vertical="top"/>
    </xf>
    <xf numFmtId="4" fontId="6" fillId="0" borderId="0" xfId="2" applyNumberFormat="1" applyFont="1" applyAlignment="1">
      <alignment horizontal="right" vertical="top"/>
    </xf>
    <xf numFmtId="4" fontId="8" fillId="0" borderId="2" xfId="2" applyNumberFormat="1" applyFont="1" applyBorder="1" applyAlignment="1">
      <alignment horizontal="right" vertical="top"/>
    </xf>
    <xf numFmtId="2" fontId="8" fillId="0" borderId="0" xfId="2" applyNumberFormat="1" applyFont="1" applyAlignment="1">
      <alignment horizontal="justify" vertical="top" wrapText="1"/>
    </xf>
    <xf numFmtId="2" fontId="8" fillId="0" borderId="0" xfId="0" applyNumberFormat="1" applyFont="1" applyAlignment="1">
      <alignment horizontal="justify" vertical="top" wrapText="1"/>
    </xf>
    <xf numFmtId="0" fontId="8" fillId="0" borderId="0" xfId="0" applyFont="1" applyAlignment="1">
      <alignment vertical="top" wrapText="1"/>
    </xf>
    <xf numFmtId="165" fontId="8" fillId="0" borderId="0" xfId="0" applyNumberFormat="1" applyFont="1" applyAlignment="1">
      <alignment horizontal="justify" vertical="top" wrapText="1"/>
    </xf>
    <xf numFmtId="2" fontId="8" fillId="0" borderId="0" xfId="0" applyNumberFormat="1" applyFont="1" applyAlignment="1">
      <alignment horizontal="right" vertical="top"/>
    </xf>
    <xf numFmtId="2" fontId="5" fillId="0" borderId="0" xfId="0" applyNumberFormat="1" applyFont="1" applyAlignment="1">
      <alignment horizontal="justify" vertical="top" wrapText="1"/>
    </xf>
    <xf numFmtId="2" fontId="4" fillId="0" borderId="0" xfId="2" applyNumberFormat="1" applyFont="1" applyAlignment="1">
      <alignment horizontal="justify" vertical="top" wrapText="1"/>
    </xf>
    <xf numFmtId="0" fontId="8" fillId="0" borderId="0" xfId="3" applyFont="1" applyAlignment="1">
      <alignment horizontal="justify" vertical="top"/>
    </xf>
    <xf numFmtId="1" fontId="4" fillId="0" borderId="0" xfId="2" applyNumberFormat="1" applyFont="1" applyAlignment="1">
      <alignment horizontal="center" vertical="top"/>
    </xf>
    <xf numFmtId="0" fontId="8" fillId="0" borderId="0" xfId="0" applyFont="1" applyAlignment="1">
      <alignment horizontal="justify" vertical="top"/>
    </xf>
    <xf numFmtId="0" fontId="4" fillId="0" borderId="0" xfId="2" applyFont="1" applyAlignment="1">
      <alignment horizontal="justify" vertical="top" wrapText="1"/>
    </xf>
    <xf numFmtId="2" fontId="8" fillId="0" borderId="0" xfId="2" applyNumberFormat="1" applyFont="1" applyAlignment="1">
      <alignment horizontal="left" vertical="top" wrapText="1"/>
    </xf>
    <xf numFmtId="4" fontId="4" fillId="0" borderId="0" xfId="0" applyNumberFormat="1" applyFont="1" applyAlignment="1">
      <alignment vertical="center"/>
    </xf>
    <xf numFmtId="0" fontId="4" fillId="2" borderId="0" xfId="0" applyFont="1" applyFill="1" applyAlignment="1">
      <alignment vertical="center" wrapText="1"/>
    </xf>
    <xf numFmtId="0" fontId="8" fillId="0" borderId="0" xfId="2" applyFont="1" applyAlignment="1">
      <alignment horizontal="justify"/>
    </xf>
    <xf numFmtId="0" fontId="8" fillId="0" borderId="0" xfId="2" applyFont="1" applyAlignment="1">
      <alignment horizontal="center"/>
    </xf>
    <xf numFmtId="0" fontId="8" fillId="0" borderId="0" xfId="3" applyFont="1" applyAlignment="1">
      <alignment horizontal="center" vertical="center"/>
    </xf>
    <xf numFmtId="4" fontId="8" fillId="0" borderId="0" xfId="3" applyNumberFormat="1" applyFont="1" applyAlignment="1">
      <alignment vertical="center"/>
    </xf>
    <xf numFmtId="0" fontId="4" fillId="0" borderId="0" xfId="0" applyFont="1" applyAlignment="1">
      <alignment horizontal="center" vertical="center"/>
    </xf>
    <xf numFmtId="167" fontId="8" fillId="0" borderId="0" xfId="6">
      <alignment horizontal="justify" vertical="top"/>
    </xf>
    <xf numFmtId="0" fontId="6" fillId="0" borderId="0" xfId="2" applyFont="1" applyAlignment="1">
      <alignment horizontal="left" vertical="top"/>
    </xf>
    <xf numFmtId="4" fontId="8" fillId="0" borderId="0" xfId="3" applyNumberFormat="1" applyFont="1" applyAlignment="1" applyProtection="1">
      <alignment horizontal="right" vertical="top"/>
      <protection locked="0"/>
    </xf>
    <xf numFmtId="4" fontId="4" fillId="0" borderId="0" xfId="0" applyNumberFormat="1" applyFont="1" applyAlignment="1" applyProtection="1">
      <alignment horizontal="right" vertical="top"/>
      <protection locked="0"/>
    </xf>
    <xf numFmtId="0" fontId="8" fillId="0" borderId="0" xfId="0" applyFont="1" applyAlignment="1" applyProtection="1">
      <alignment horizontal="right" vertical="top" wrapText="1"/>
      <protection locked="0"/>
    </xf>
    <xf numFmtId="0" fontId="3" fillId="0" borderId="0" xfId="11"/>
    <xf numFmtId="0" fontId="8" fillId="0" borderId="0" xfId="11" applyFont="1"/>
    <xf numFmtId="0" fontId="7" fillId="0" borderId="0" xfId="11" applyFont="1"/>
    <xf numFmtId="0" fontId="13" fillId="0" borderId="0" xfId="11" applyFont="1"/>
    <xf numFmtId="0" fontId="13" fillId="0" borderId="0" xfId="11" applyFont="1" applyAlignment="1">
      <alignment wrapText="1"/>
    </xf>
    <xf numFmtId="0" fontId="14" fillId="0" borderId="0" xfId="11" applyFont="1"/>
    <xf numFmtId="0" fontId="7" fillId="0" borderId="0" xfId="2" applyFont="1" applyAlignment="1">
      <alignment horizontal="justify" vertical="top"/>
    </xf>
    <xf numFmtId="4" fontId="7" fillId="0" borderId="0" xfId="2" applyNumberFormat="1" applyFont="1" applyAlignment="1" applyProtection="1">
      <alignment horizontal="center" vertical="top"/>
      <protection locked="0"/>
    </xf>
    <xf numFmtId="4" fontId="7" fillId="0" borderId="0" xfId="2" applyNumberFormat="1" applyFont="1" applyAlignment="1">
      <alignment vertical="top"/>
    </xf>
    <xf numFmtId="0" fontId="7" fillId="0" borderId="0" xfId="2" applyFont="1" applyAlignment="1">
      <alignment horizontal="left" vertical="top"/>
    </xf>
    <xf numFmtId="0" fontId="6" fillId="0" borderId="5" xfId="2" applyFont="1" applyBorder="1" applyAlignment="1">
      <alignment horizontal="center" vertical="top"/>
    </xf>
    <xf numFmtId="0" fontId="6" fillId="0" borderId="5" xfId="2" applyFont="1" applyBorder="1" applyAlignment="1">
      <alignment horizontal="justify" vertical="top"/>
    </xf>
    <xf numFmtId="4" fontId="6" fillId="0" borderId="5" xfId="2" applyNumberFormat="1" applyFont="1" applyBorder="1" applyAlignment="1" applyProtection="1">
      <alignment horizontal="center" vertical="top"/>
      <protection locked="0"/>
    </xf>
    <xf numFmtId="4" fontId="6" fillId="0" borderId="5" xfId="2" applyNumberFormat="1" applyFont="1" applyBorder="1" applyAlignment="1">
      <alignment vertical="top"/>
    </xf>
    <xf numFmtId="0" fontId="6" fillId="0" borderId="0" xfId="2" applyFont="1" applyAlignment="1">
      <alignment horizontal="left" vertical="top" wrapText="1"/>
    </xf>
    <xf numFmtId="0" fontId="32" fillId="0" borderId="0" xfId="2" applyFont="1" applyAlignment="1">
      <alignment horizontal="center" vertical="center" wrapText="1"/>
    </xf>
    <xf numFmtId="0" fontId="33" fillId="0" borderId="0" xfId="2" applyFont="1" applyAlignment="1">
      <alignment horizontal="center" vertical="center" wrapText="1"/>
    </xf>
    <xf numFmtId="174" fontId="3" fillId="0" borderId="0" xfId="105"/>
    <xf numFmtId="174" fontId="34" fillId="0" borderId="0" xfId="105" applyFont="1" applyAlignment="1">
      <alignment horizontal="center" vertical="top"/>
    </xf>
    <xf numFmtId="174" fontId="34" fillId="0" borderId="0" xfId="105" applyFont="1" applyAlignment="1">
      <alignment horizontal="center"/>
    </xf>
    <xf numFmtId="4" fontId="34" fillId="0" borderId="0" xfId="105" applyNumberFormat="1" applyFont="1" applyProtection="1">
      <protection locked="0"/>
    </xf>
    <xf numFmtId="4" fontId="34" fillId="0" borderId="0" xfId="105" applyNumberFormat="1" applyFont="1" applyAlignment="1">
      <alignment horizontal="right"/>
    </xf>
    <xf numFmtId="4" fontId="8" fillId="0" borderId="0" xfId="2" applyNumberFormat="1" applyFont="1"/>
    <xf numFmtId="174" fontId="34" fillId="0" borderId="0" xfId="105" applyFont="1" applyAlignment="1">
      <alignment horizontal="justify" vertical="top"/>
    </xf>
    <xf numFmtId="174" fontId="4" fillId="0" borderId="0" xfId="105" applyFont="1" applyAlignment="1">
      <alignment horizontal="center"/>
    </xf>
    <xf numFmtId="174" fontId="8" fillId="0" borderId="0" xfId="105" applyFont="1" applyAlignment="1">
      <alignment horizontal="right" vertical="top"/>
    </xf>
    <xf numFmtId="174" fontId="8" fillId="0" borderId="2" xfId="105" applyFont="1" applyBorder="1" applyAlignment="1">
      <alignment horizontal="center"/>
    </xf>
    <xf numFmtId="4" fontId="8" fillId="0" borderId="2" xfId="105" applyNumberFormat="1" applyFont="1" applyBorder="1" applyProtection="1">
      <protection locked="0"/>
    </xf>
    <xf numFmtId="4" fontId="8" fillId="0" borderId="2" xfId="105" applyNumberFormat="1" applyFont="1" applyBorder="1" applyAlignment="1">
      <alignment horizontal="right"/>
    </xf>
    <xf numFmtId="174" fontId="8" fillId="0" borderId="0" xfId="105" applyFont="1" applyAlignment="1">
      <alignment horizontal="right"/>
    </xf>
    <xf numFmtId="174" fontId="8" fillId="0" borderId="0" xfId="105" applyFont="1" applyAlignment="1">
      <alignment horizontal="justify" vertical="top"/>
    </xf>
    <xf numFmtId="174" fontId="8" fillId="0" borderId="0" xfId="105" applyFont="1" applyAlignment="1">
      <alignment horizontal="center"/>
    </xf>
    <xf numFmtId="4" fontId="8" fillId="0" borderId="0" xfId="105" applyNumberFormat="1" applyFont="1" applyProtection="1">
      <protection locked="0"/>
    </xf>
    <xf numFmtId="4" fontId="8" fillId="0" borderId="0" xfId="105" applyNumberFormat="1" applyFont="1" applyAlignment="1">
      <alignment horizontal="right"/>
    </xf>
    <xf numFmtId="174" fontId="4" fillId="0" borderId="0" xfId="105" applyFont="1" applyAlignment="1">
      <alignment horizontal="center" vertical="top"/>
    </xf>
    <xf numFmtId="174" fontId="6" fillId="0" borderId="0" xfId="105" applyFont="1" applyAlignment="1">
      <alignment horizontal="justify"/>
    </xf>
    <xf numFmtId="174" fontId="6" fillId="0" borderId="0" xfId="105" applyFont="1" applyAlignment="1">
      <alignment horizontal="center"/>
    </xf>
    <xf numFmtId="4" fontId="6" fillId="0" borderId="0" xfId="105" applyNumberFormat="1" applyFont="1" applyProtection="1">
      <protection locked="0"/>
    </xf>
    <xf numFmtId="4" fontId="6" fillId="0" borderId="0" xfId="105" applyNumberFormat="1" applyFont="1" applyAlignment="1">
      <alignment horizontal="right"/>
    </xf>
    <xf numFmtId="174" fontId="6" fillId="0" borderId="5" xfId="105" applyFont="1" applyBorder="1" applyAlignment="1">
      <alignment horizontal="justify"/>
    </xf>
    <xf numFmtId="174" fontId="6" fillId="0" borderId="5" xfId="105" applyFont="1" applyBorder="1" applyAlignment="1">
      <alignment horizontal="center"/>
    </xf>
    <xf numFmtId="4" fontId="6" fillId="0" borderId="5" xfId="105" applyNumberFormat="1" applyFont="1" applyBorder="1" applyProtection="1">
      <protection locked="0"/>
    </xf>
    <xf numFmtId="4" fontId="6" fillId="0" borderId="5" xfId="105" applyNumberFormat="1" applyFont="1" applyBorder="1" applyAlignment="1">
      <alignment horizontal="right"/>
    </xf>
    <xf numFmtId="174" fontId="4" fillId="0" borderId="0" xfId="105" applyFont="1" applyAlignment="1">
      <alignment horizontal="justify"/>
    </xf>
    <xf numFmtId="4" fontId="4" fillId="0" borderId="0" xfId="105" applyNumberFormat="1" applyFont="1" applyProtection="1">
      <protection locked="0"/>
    </xf>
    <xf numFmtId="4" fontId="4" fillId="0" borderId="0" xfId="105" applyNumberFormat="1" applyFont="1" applyAlignment="1">
      <alignment horizontal="right"/>
    </xf>
    <xf numFmtId="174" fontId="32" fillId="0" borderId="0" xfId="105" applyFont="1" applyAlignment="1">
      <alignment horizontal="justify"/>
    </xf>
    <xf numFmtId="174" fontId="32" fillId="0" borderId="0" xfId="105" applyFont="1" applyAlignment="1">
      <alignment horizontal="center"/>
    </xf>
    <xf numFmtId="4" fontId="32" fillId="0" borderId="0" xfId="105" applyNumberFormat="1" applyFont="1" applyProtection="1">
      <protection locked="0"/>
    </xf>
    <xf numFmtId="4" fontId="32" fillId="0" borderId="0" xfId="105" applyNumberFormat="1" applyFont="1" applyAlignment="1">
      <alignment horizontal="right"/>
    </xf>
    <xf numFmtId="4" fontId="8" fillId="0" borderId="0" xfId="2" applyNumberFormat="1" applyFont="1" applyAlignment="1">
      <alignment horizontal="center"/>
    </xf>
    <xf numFmtId="174" fontId="8" fillId="0" borderId="2" xfId="105" applyFont="1" applyBorder="1" applyAlignment="1">
      <alignment horizontal="left" vertical="top" wrapText="1"/>
    </xf>
    <xf numFmtId="166" fontId="8" fillId="0" borderId="0" xfId="5">
      <alignment horizontal="left" vertical="top"/>
    </xf>
    <xf numFmtId="0" fontId="8" fillId="0" borderId="0" xfId="0" applyFont="1" applyAlignment="1">
      <alignment vertical="top"/>
    </xf>
    <xf numFmtId="0" fontId="29" fillId="0" borderId="0" xfId="0" applyFont="1" applyAlignment="1">
      <alignment wrapText="1"/>
    </xf>
    <xf numFmtId="0" fontId="35" fillId="0" borderId="0" xfId="2" quotePrefix="1" applyFont="1" applyAlignment="1">
      <alignment vertical="top"/>
    </xf>
    <xf numFmtId="0" fontId="36" fillId="0" borderId="0" xfId="2" applyFont="1" applyAlignment="1">
      <alignment vertical="top"/>
    </xf>
    <xf numFmtId="166" fontId="3" fillId="0" borderId="0" xfId="0" applyNumberFormat="1" applyFont="1" applyAlignment="1">
      <alignment horizontal="center" vertical="top"/>
    </xf>
    <xf numFmtId="0" fontId="35" fillId="0" borderId="1" xfId="2" applyFont="1" applyBorder="1" applyAlignment="1">
      <alignment vertical="top"/>
    </xf>
    <xf numFmtId="166" fontId="35" fillId="0" borderId="0" xfId="2" applyNumberFormat="1" applyFont="1" applyAlignment="1">
      <alignment horizontal="center"/>
    </xf>
    <xf numFmtId="166" fontId="35" fillId="0" borderId="1" xfId="2" applyNumberFormat="1" applyFont="1" applyBorder="1" applyAlignment="1">
      <alignment horizontal="center"/>
    </xf>
    <xf numFmtId="0" fontId="35" fillId="0" borderId="0" xfId="2" applyFont="1" applyAlignment="1">
      <alignment vertical="top"/>
    </xf>
    <xf numFmtId="0" fontId="4" fillId="0" borderId="0" xfId="0" quotePrefix="1" applyFont="1" applyAlignment="1">
      <alignment horizontal="justify" vertical="top" wrapText="1"/>
    </xf>
    <xf numFmtId="0" fontId="8" fillId="0" borderId="0" xfId="306" applyFont="1" applyAlignment="1">
      <alignment horizontal="right" vertical="top"/>
    </xf>
    <xf numFmtId="4" fontId="8" fillId="0" borderId="0" xfId="3" applyNumberFormat="1" applyFont="1" applyAlignment="1" applyProtection="1">
      <alignment horizontal="center" vertical="top"/>
      <protection locked="0"/>
    </xf>
    <xf numFmtId="4" fontId="4" fillId="0" borderId="0" xfId="0" applyNumberFormat="1" applyFont="1" applyAlignment="1" applyProtection="1">
      <alignment horizontal="center" vertical="top"/>
      <protection locked="0"/>
    </xf>
    <xf numFmtId="4" fontId="8" fillId="0" borderId="0" xfId="2" applyNumberFormat="1" applyFont="1" applyAlignment="1" applyProtection="1">
      <alignment horizontal="center" vertical="top"/>
      <protection locked="0"/>
    </xf>
    <xf numFmtId="0" fontId="8" fillId="0" borderId="0" xfId="306" applyFont="1" applyAlignment="1">
      <alignment horizontal="center" vertical="top"/>
    </xf>
    <xf numFmtId="4" fontId="8" fillId="0" borderId="0" xfId="306" applyNumberFormat="1" applyFont="1" applyAlignment="1" applyProtection="1">
      <alignment horizontal="center" vertical="top"/>
      <protection locked="0"/>
    </xf>
    <xf numFmtId="0" fontId="4" fillId="0" borderId="0" xfId="306" applyFont="1" applyAlignment="1">
      <alignment horizontal="right" vertical="top"/>
    </xf>
    <xf numFmtId="4" fontId="4" fillId="0" borderId="0" xfId="306" applyNumberFormat="1" applyFont="1" applyAlignment="1">
      <alignment horizontal="center" vertical="center"/>
    </xf>
    <xf numFmtId="0" fontId="8" fillId="0" borderId="0" xfId="306" quotePrefix="1" applyFont="1" applyAlignment="1">
      <alignment horizontal="justify" vertical="center"/>
    </xf>
    <xf numFmtId="4" fontId="8" fillId="0" borderId="0" xfId="306" applyNumberFormat="1" applyFont="1" applyAlignment="1">
      <alignment horizontal="right" vertical="top"/>
    </xf>
    <xf numFmtId="0" fontId="8" fillId="0" borderId="0" xfId="306" applyFont="1" applyAlignment="1">
      <alignment horizontal="left" vertical="top"/>
    </xf>
    <xf numFmtId="0" fontId="8" fillId="0" borderId="0" xfId="306" applyFont="1" applyAlignment="1">
      <alignment horizontal="center" vertical="center"/>
    </xf>
    <xf numFmtId="4" fontId="8" fillId="0" borderId="0" xfId="306" applyNumberFormat="1" applyFont="1" applyAlignment="1">
      <alignment vertical="center"/>
    </xf>
    <xf numFmtId="0" fontId="8" fillId="0" borderId="0" xfId="306" applyFont="1" applyAlignment="1">
      <alignment vertical="center"/>
    </xf>
    <xf numFmtId="0" fontId="4" fillId="0" borderId="0" xfId="0" applyFont="1" applyAlignment="1">
      <alignment horizontal="left" vertical="top"/>
    </xf>
    <xf numFmtId="0" fontId="4" fillId="0" borderId="0" xfId="0" applyFont="1" applyAlignment="1">
      <alignment horizontal="right" vertical="center"/>
    </xf>
    <xf numFmtId="0" fontId="8" fillId="0" borderId="0" xfId="0" applyFont="1" applyAlignment="1">
      <alignment horizontal="center" vertical="center"/>
    </xf>
    <xf numFmtId="0" fontId="4" fillId="0" borderId="0" xfId="306" applyFont="1" applyAlignment="1">
      <alignment horizontal="center" vertical="center"/>
    </xf>
    <xf numFmtId="2" fontId="8" fillId="0" borderId="0" xfId="306" applyNumberFormat="1" applyFont="1" applyAlignment="1">
      <alignment horizontal="justify" vertical="center"/>
    </xf>
    <xf numFmtId="0" fontId="8" fillId="0" borderId="1" xfId="306" applyFont="1" applyBorder="1" applyAlignment="1">
      <alignment horizontal="justify" vertical="top"/>
    </xf>
    <xf numFmtId="4" fontId="8" fillId="0" borderId="0" xfId="0" applyNumberFormat="1" applyFont="1" applyAlignment="1" applyProtection="1">
      <alignment horizontal="center" vertical="top"/>
      <protection locked="0"/>
    </xf>
    <xf numFmtId="0" fontId="8" fillId="0" borderId="0" xfId="0" applyFont="1" applyAlignment="1">
      <alignment horizontal="left" vertical="top"/>
    </xf>
    <xf numFmtId="0" fontId="6" fillId="0" borderId="0" xfId="0" applyFont="1" applyAlignment="1">
      <alignment horizontal="left" vertical="top"/>
    </xf>
    <xf numFmtId="0" fontId="31" fillId="0" borderId="0" xfId="2" applyFont="1" applyAlignment="1">
      <alignment horizontal="left" vertical="top"/>
    </xf>
    <xf numFmtId="0" fontId="4" fillId="0" borderId="0" xfId="2" applyFont="1" applyAlignment="1">
      <alignment horizontal="left" vertical="top"/>
    </xf>
    <xf numFmtId="0" fontId="4" fillId="0" borderId="0" xfId="3" applyFont="1" applyAlignment="1">
      <alignment horizontal="left" vertical="top"/>
    </xf>
    <xf numFmtId="0" fontId="4" fillId="0" borderId="1" xfId="2" applyFont="1" applyBorder="1" applyAlignment="1">
      <alignment horizontal="left" vertical="top"/>
    </xf>
    <xf numFmtId="0" fontId="4" fillId="0" borderId="2" xfId="2" applyFont="1" applyBorder="1" applyAlignment="1">
      <alignment horizontal="left" vertical="top"/>
    </xf>
    <xf numFmtId="0" fontId="4" fillId="0" borderId="0" xfId="306" applyFont="1" applyAlignment="1">
      <alignment horizontal="left" vertical="top"/>
    </xf>
    <xf numFmtId="2" fontId="8" fillId="0" borderId="0" xfId="1" applyNumberFormat="1" applyFont="1" applyFill="1" applyBorder="1" applyAlignment="1" applyProtection="1">
      <alignment horizontal="center" vertical="top"/>
      <protection locked="0"/>
    </xf>
    <xf numFmtId="4" fontId="8" fillId="0" borderId="0" xfId="1" applyNumberFormat="1" applyFont="1" applyFill="1" applyAlignment="1">
      <alignment horizontal="center" vertical="top"/>
    </xf>
    <xf numFmtId="164" fontId="8" fillId="0" borderId="0" xfId="1" applyFont="1" applyFill="1" applyBorder="1" applyAlignment="1" applyProtection="1">
      <alignment horizontal="center" vertical="top"/>
      <protection locked="0"/>
    </xf>
    <xf numFmtId="4" fontId="8" fillId="0" borderId="1" xfId="2" applyNumberFormat="1" applyFont="1" applyBorder="1" applyAlignment="1" applyProtection="1">
      <alignment horizontal="center" vertical="top"/>
      <protection locked="0"/>
    </xf>
    <xf numFmtId="4" fontId="8" fillId="0" borderId="2" xfId="2" applyNumberFormat="1" applyFont="1" applyBorder="1" applyAlignment="1" applyProtection="1">
      <alignment horizontal="center" vertical="top"/>
      <protection locked="0"/>
    </xf>
    <xf numFmtId="0" fontId="8" fillId="0" borderId="0" xfId="0" applyFont="1" applyAlignment="1" applyProtection="1">
      <alignment horizontal="center" vertical="top" wrapText="1"/>
      <protection locked="0"/>
    </xf>
    <xf numFmtId="2" fontId="8" fillId="0" borderId="0" xfId="306" applyNumberFormat="1" applyFont="1" applyAlignment="1">
      <alignment horizontal="center" vertical="center"/>
    </xf>
    <xf numFmtId="0" fontId="4" fillId="0" borderId="0" xfId="2" applyFont="1" applyAlignment="1">
      <alignment horizontal="right" vertical="center"/>
    </xf>
    <xf numFmtId="0" fontId="8" fillId="0" borderId="0" xfId="306" applyFont="1" applyAlignment="1">
      <alignment horizontal="center"/>
    </xf>
    <xf numFmtId="4" fontId="8" fillId="0" borderId="0" xfId="306" applyNumberFormat="1" applyFont="1" applyAlignment="1" applyProtection="1">
      <alignment horizontal="center"/>
      <protection locked="0"/>
    </xf>
    <xf numFmtId="4" fontId="8" fillId="0" borderId="0" xfId="306" applyNumberFormat="1" applyFont="1"/>
    <xf numFmtId="0" fontId="8" fillId="0" borderId="0" xfId="306" applyFont="1"/>
    <xf numFmtId="0" fontId="8" fillId="0" borderId="0" xfId="306" applyFont="1" applyAlignment="1">
      <alignment horizontal="justify" vertical="center"/>
    </xf>
    <xf numFmtId="2" fontId="8" fillId="0" borderId="0" xfId="0" applyNumberFormat="1" applyFont="1" applyAlignment="1" applyProtection="1">
      <alignment horizontal="center" vertical="top"/>
      <protection locked="0"/>
    </xf>
    <xf numFmtId="4" fontId="8" fillId="0" borderId="0" xfId="2" applyNumberFormat="1" applyFont="1" applyAlignment="1" applyProtection="1">
      <alignment horizontal="center" vertical="top" wrapText="1"/>
      <protection locked="0"/>
    </xf>
    <xf numFmtId="4" fontId="4" fillId="0" borderId="0" xfId="3" applyNumberFormat="1" applyFont="1" applyAlignment="1" applyProtection="1">
      <alignment horizontal="center" vertical="top"/>
      <protection locked="0"/>
    </xf>
    <xf numFmtId="2" fontId="8" fillId="0" borderId="0" xfId="306" applyNumberFormat="1" applyFont="1" applyAlignment="1">
      <alignment horizontal="justify" vertical="center" wrapText="1"/>
    </xf>
    <xf numFmtId="2" fontId="8" fillId="0" borderId="0" xfId="3" applyNumberFormat="1" applyFont="1" applyAlignment="1">
      <alignment horizontal="justify" vertical="center" wrapText="1"/>
    </xf>
    <xf numFmtId="43" fontId="8" fillId="0" borderId="0" xfId="10" applyFont="1" applyFill="1" applyBorder="1" applyAlignment="1" applyProtection="1">
      <alignment horizontal="center" vertical="center"/>
      <protection locked="0"/>
    </xf>
    <xf numFmtId="0" fontId="8" fillId="0" borderId="0" xfId="0" applyFont="1" applyAlignment="1">
      <alignment horizontal="right" vertical="center"/>
    </xf>
    <xf numFmtId="43" fontId="8" fillId="0" borderId="0" xfId="10" applyFont="1" applyFill="1" applyBorder="1" applyAlignment="1" applyProtection="1">
      <alignment horizontal="right" vertical="center"/>
    </xf>
    <xf numFmtId="0" fontId="8" fillId="2" borderId="0" xfId="0" applyFont="1" applyFill="1" applyAlignment="1">
      <alignment vertical="center" wrapText="1"/>
    </xf>
    <xf numFmtId="0" fontId="4" fillId="0" borderId="0" xfId="3" quotePrefix="1" applyFont="1" applyAlignment="1">
      <alignment horizontal="center" vertical="center"/>
    </xf>
    <xf numFmtId="0" fontId="6" fillId="0" borderId="5" xfId="2" applyFont="1" applyBorder="1" applyAlignment="1">
      <alignment horizontal="left" vertical="top"/>
    </xf>
    <xf numFmtId="0" fontId="6" fillId="0" borderId="0" xfId="2" applyFont="1" applyAlignment="1">
      <alignment horizontal="right" vertical="center"/>
    </xf>
    <xf numFmtId="4" fontId="6" fillId="0" borderId="0" xfId="2" applyNumberFormat="1" applyFont="1" applyAlignment="1">
      <alignment vertical="center"/>
    </xf>
    <xf numFmtId="0" fontId="13" fillId="0" borderId="0" xfId="11" applyFont="1" applyAlignment="1">
      <alignment vertical="top"/>
    </xf>
    <xf numFmtId="0" fontId="36" fillId="0" borderId="2" xfId="2" applyFont="1" applyBorder="1" applyAlignment="1">
      <alignment vertical="top"/>
    </xf>
    <xf numFmtId="166" fontId="3" fillId="0" borderId="2" xfId="0" applyNumberFormat="1" applyFont="1" applyBorder="1" applyAlignment="1">
      <alignment horizontal="center" vertical="top"/>
    </xf>
    <xf numFmtId="4" fontId="4" fillId="0" borderId="0" xfId="0" applyNumberFormat="1" applyFont="1" applyAlignment="1" applyProtection="1">
      <alignment horizontal="center" vertical="center"/>
      <protection locked="0"/>
    </xf>
    <xf numFmtId="4" fontId="2" fillId="0" borderId="0" xfId="3" applyNumberFormat="1" applyFont="1" applyAlignment="1" applyProtection="1">
      <alignment horizontal="center" vertical="top"/>
      <protection locked="0"/>
    </xf>
    <xf numFmtId="0" fontId="2" fillId="0" borderId="0" xfId="2" applyFont="1" applyAlignment="1">
      <alignment horizontal="center" vertical="top"/>
    </xf>
    <xf numFmtId="4" fontId="2" fillId="0" borderId="0" xfId="2" applyNumberFormat="1" applyFont="1" applyAlignment="1" applyProtection="1">
      <alignment horizontal="center" vertical="top"/>
      <protection locked="0"/>
    </xf>
    <xf numFmtId="4" fontId="2" fillId="0" borderId="0" xfId="2" applyNumberFormat="1" applyFont="1" applyAlignment="1">
      <alignment vertical="top"/>
    </xf>
    <xf numFmtId="0" fontId="39" fillId="0" borderId="0" xfId="2" applyFont="1" applyAlignment="1">
      <alignment horizontal="left" vertical="top"/>
    </xf>
    <xf numFmtId="0" fontId="39" fillId="0" borderId="0" xfId="2" applyFont="1" applyAlignment="1">
      <alignment vertical="top"/>
    </xf>
    <xf numFmtId="0" fontId="39" fillId="0" borderId="0" xfId="2" applyFont="1" applyAlignment="1">
      <alignment horizontal="right" vertical="top"/>
    </xf>
    <xf numFmtId="0" fontId="39" fillId="0" borderId="0" xfId="2" applyFont="1" applyAlignment="1">
      <alignment horizontal="center" vertical="top"/>
    </xf>
    <xf numFmtId="4" fontId="39" fillId="0" borderId="0" xfId="0" applyNumberFormat="1" applyFont="1" applyAlignment="1" applyProtection="1">
      <alignment horizontal="center" vertical="top"/>
      <protection locked="0"/>
    </xf>
    <xf numFmtId="0" fontId="39" fillId="0" borderId="0" xfId="2" quotePrefix="1" applyFont="1" applyAlignment="1">
      <alignment horizontal="center" vertical="top"/>
    </xf>
    <xf numFmtId="4" fontId="39" fillId="0" borderId="0" xfId="0" applyNumberFormat="1" applyFont="1" applyAlignment="1">
      <alignment horizontal="right" vertical="top"/>
    </xf>
    <xf numFmtId="0" fontId="39" fillId="0" borderId="0" xfId="0" applyFont="1" applyAlignment="1">
      <alignment horizontal="left" vertical="top"/>
    </xf>
    <xf numFmtId="0" fontId="2" fillId="0" borderId="0" xfId="0" applyFont="1" applyAlignment="1">
      <alignment horizontal="right" vertical="top"/>
    </xf>
    <xf numFmtId="0" fontId="2" fillId="0" borderId="0" xfId="0" applyFont="1" applyAlignment="1">
      <alignment horizontal="center" vertical="top"/>
    </xf>
    <xf numFmtId="0" fontId="2" fillId="0" borderId="0" xfId="0" applyFont="1" applyAlignment="1">
      <alignment vertical="top"/>
    </xf>
    <xf numFmtId="0" fontId="2" fillId="0" borderId="0" xfId="2" applyFont="1" applyAlignment="1">
      <alignment horizontal="right" vertical="top"/>
    </xf>
    <xf numFmtId="0" fontId="2" fillId="0" borderId="0" xfId="2" applyFont="1" applyAlignment="1">
      <alignment horizontal="justify" vertical="top"/>
    </xf>
    <xf numFmtId="4" fontId="2" fillId="0" borderId="0" xfId="0" applyNumberFormat="1" applyFont="1" applyAlignment="1" applyProtection="1">
      <alignment horizontal="center" vertical="top"/>
      <protection locked="0"/>
    </xf>
    <xf numFmtId="4" fontId="2" fillId="0" borderId="0" xfId="1" applyNumberFormat="1" applyFont="1" applyFill="1" applyBorder="1" applyAlignment="1">
      <alignment horizontal="right" vertical="top"/>
    </xf>
    <xf numFmtId="0" fontId="39" fillId="0" borderId="0" xfId="3" applyFont="1" applyAlignment="1">
      <alignment horizontal="left" vertical="top"/>
    </xf>
    <xf numFmtId="0" fontId="2" fillId="0" borderId="0" xfId="3" applyFont="1" applyAlignment="1">
      <alignment horizontal="right" vertical="top"/>
    </xf>
    <xf numFmtId="166" fontId="2" fillId="0" borderId="0" xfId="5" applyFont="1">
      <alignment horizontal="left" vertical="top"/>
    </xf>
    <xf numFmtId="0" fontId="2" fillId="0" borderId="0" xfId="3" applyFont="1" applyAlignment="1">
      <alignment horizontal="center" vertical="top"/>
    </xf>
    <xf numFmtId="2" fontId="39" fillId="0" borderId="0" xfId="2" applyNumberFormat="1" applyFont="1" applyAlignment="1">
      <alignment horizontal="center" vertical="top"/>
    </xf>
    <xf numFmtId="2" fontId="2" fillId="0" borderId="0" xfId="2" applyNumberFormat="1" applyFont="1" applyAlignment="1">
      <alignment horizontal="center" vertical="top"/>
    </xf>
    <xf numFmtId="4" fontId="2" fillId="0" borderId="0" xfId="0" applyNumberFormat="1" applyFont="1" applyAlignment="1">
      <alignment horizontal="right" vertical="top" wrapText="1"/>
    </xf>
    <xf numFmtId="0" fontId="39" fillId="0" borderId="0" xfId="3" applyFont="1" applyAlignment="1">
      <alignment horizontal="center" vertical="top"/>
    </xf>
    <xf numFmtId="49" fontId="2" fillId="0" borderId="0" xfId="0" applyNumberFormat="1" applyFont="1" applyAlignment="1">
      <alignment horizontal="center" vertical="top"/>
    </xf>
    <xf numFmtId="4" fontId="2" fillId="0" borderId="0" xfId="1" applyNumberFormat="1" applyFont="1" applyFill="1" applyAlignment="1">
      <alignment horizontal="center" vertical="top"/>
    </xf>
    <xf numFmtId="0" fontId="2" fillId="0" borderId="0" xfId="0" applyFont="1" applyAlignment="1">
      <alignment horizontal="left"/>
    </xf>
    <xf numFmtId="43" fontId="2" fillId="0" borderId="0" xfId="24" applyFont="1" applyFill="1" applyBorder="1" applyAlignment="1" applyProtection="1">
      <alignment horizontal="center" vertical="top"/>
      <protection locked="0"/>
    </xf>
    <xf numFmtId="0" fontId="2" fillId="0" borderId="0" xfId="0" applyFont="1" applyAlignment="1">
      <alignment horizontal="right"/>
    </xf>
    <xf numFmtId="4" fontId="2" fillId="0" borderId="0" xfId="24" applyNumberFormat="1" applyFont="1" applyFill="1" applyBorder="1" applyAlignment="1" applyProtection="1">
      <alignment horizontal="right"/>
    </xf>
    <xf numFmtId="0" fontId="40" fillId="0" borderId="0" xfId="2" applyFont="1" applyAlignment="1">
      <alignment horizontal="center" vertical="top"/>
    </xf>
    <xf numFmtId="4" fontId="40" fillId="0" borderId="0" xfId="2" applyNumberFormat="1" applyFont="1" applyAlignment="1" applyProtection="1">
      <alignment horizontal="center" vertical="top"/>
      <protection locked="0"/>
    </xf>
    <xf numFmtId="0" fontId="39" fillId="0" borderId="2" xfId="2" applyFont="1" applyBorder="1" applyAlignment="1">
      <alignment horizontal="left" vertical="top"/>
    </xf>
    <xf numFmtId="0" fontId="2" fillId="0" borderId="2" xfId="2" applyFont="1" applyBorder="1" applyAlignment="1">
      <alignment horizontal="right" vertical="top"/>
    </xf>
    <xf numFmtId="0" fontId="2" fillId="0" borderId="2" xfId="2" applyFont="1" applyBorder="1" applyAlignment="1">
      <alignment horizontal="justify" vertical="top"/>
    </xf>
    <xf numFmtId="0" fontId="2" fillId="0" borderId="2" xfId="2" applyFont="1" applyBorder="1" applyAlignment="1">
      <alignment horizontal="center" vertical="top"/>
    </xf>
    <xf numFmtId="4" fontId="2" fillId="0" borderId="2" xfId="2" applyNumberFormat="1" applyFont="1" applyBorder="1" applyAlignment="1" applyProtection="1">
      <alignment horizontal="center" vertical="top"/>
      <protection locked="0"/>
    </xf>
    <xf numFmtId="4" fontId="2" fillId="0" borderId="0" xfId="2" applyNumberFormat="1" applyFont="1" applyAlignment="1">
      <alignment horizontal="right" vertical="top"/>
    </xf>
    <xf numFmtId="4" fontId="40" fillId="0" borderId="0" xfId="2" applyNumberFormat="1" applyFont="1" applyAlignment="1">
      <alignment vertical="top"/>
    </xf>
    <xf numFmtId="4" fontId="2" fillId="0" borderId="0" xfId="0" applyNumberFormat="1" applyFont="1" applyAlignment="1">
      <alignment vertical="top"/>
    </xf>
    <xf numFmtId="4" fontId="2" fillId="0" borderId="0" xfId="3" applyNumberFormat="1" applyFont="1" applyAlignment="1">
      <alignment horizontal="left" vertical="top"/>
    </xf>
    <xf numFmtId="0" fontId="2" fillId="0" borderId="0" xfId="306" quotePrefix="1" applyFont="1" applyAlignment="1">
      <alignment horizontal="justify" vertical="center"/>
    </xf>
    <xf numFmtId="4" fontId="39" fillId="0" borderId="0" xfId="0" applyNumberFormat="1" applyFont="1" applyAlignment="1">
      <alignment vertical="top"/>
    </xf>
    <xf numFmtId="4" fontId="2" fillId="0" borderId="0" xfId="2" applyNumberFormat="1" applyFont="1" applyAlignment="1">
      <alignment horizontal="center" vertical="top"/>
    </xf>
    <xf numFmtId="0" fontId="39" fillId="0" borderId="0" xfId="0" applyFont="1" applyAlignment="1">
      <alignment horizontal="center" vertical="top"/>
    </xf>
    <xf numFmtId="0" fontId="39" fillId="0" borderId="0" xfId="306" applyFont="1" applyAlignment="1">
      <alignment horizontal="left" vertical="top"/>
    </xf>
    <xf numFmtId="0" fontId="2" fillId="0" borderId="0" xfId="306" applyFont="1" applyAlignment="1">
      <alignment horizontal="center"/>
    </xf>
    <xf numFmtId="4" fontId="2" fillId="0" borderId="0" xfId="306" applyNumberFormat="1" applyFont="1" applyAlignment="1" applyProtection="1">
      <alignment horizontal="center"/>
      <protection locked="0"/>
    </xf>
    <xf numFmtId="4" fontId="2" fillId="0" borderId="0" xfId="306" applyNumberFormat="1" applyFont="1"/>
    <xf numFmtId="0" fontId="39" fillId="0" borderId="0" xfId="2" applyFont="1" applyAlignment="1">
      <alignment horizontal="right" vertical="center"/>
    </xf>
    <xf numFmtId="4" fontId="2" fillId="0" borderId="0" xfId="3" applyNumberFormat="1" applyFont="1" applyAlignment="1">
      <alignment vertical="top"/>
    </xf>
    <xf numFmtId="0" fontId="41" fillId="0" borderId="0" xfId="2" applyFont="1" applyAlignment="1">
      <alignment horizontal="left" vertical="top"/>
    </xf>
    <xf numFmtId="0" fontId="41" fillId="0" borderId="0" xfId="2" applyFont="1" applyAlignment="1">
      <alignment horizontal="right" vertical="top"/>
    </xf>
    <xf numFmtId="0" fontId="41" fillId="0" borderId="0" xfId="2" applyFont="1" applyAlignment="1">
      <alignment vertical="top"/>
    </xf>
    <xf numFmtId="0" fontId="41" fillId="0" borderId="0" xfId="2" applyFont="1" applyAlignment="1">
      <alignment horizontal="center" vertical="top"/>
    </xf>
    <xf numFmtId="4" fontId="39" fillId="0" borderId="0" xfId="2" applyNumberFormat="1" applyFont="1" applyAlignment="1">
      <alignment horizontal="center" vertical="top"/>
    </xf>
    <xf numFmtId="4" fontId="39" fillId="0" borderId="0" xfId="2" applyNumberFormat="1" applyFont="1" applyAlignment="1" applyProtection="1">
      <alignment horizontal="center" vertical="top"/>
      <protection locked="0"/>
    </xf>
    <xf numFmtId="0" fontId="2" fillId="0" borderId="0" xfId="3" applyFont="1" applyAlignment="1">
      <alignment horizontal="justify" vertical="top"/>
    </xf>
    <xf numFmtId="4" fontId="2" fillId="0" borderId="2" xfId="2" applyNumberFormat="1" applyFont="1" applyBorder="1" applyAlignment="1">
      <alignment vertical="top"/>
    </xf>
    <xf numFmtId="169" fontId="2" fillId="0" borderId="0" xfId="0" applyNumberFormat="1" applyFont="1" applyAlignment="1">
      <alignment horizontal="center" vertical="top"/>
    </xf>
    <xf numFmtId="0" fontId="2" fillId="0" borderId="0" xfId="0" applyFont="1" applyAlignment="1">
      <alignment horizontal="center"/>
    </xf>
    <xf numFmtId="4" fontId="2" fillId="0" borderId="0" xfId="0" applyNumberFormat="1" applyFont="1"/>
    <xf numFmtId="0" fontId="2" fillId="0" borderId="0" xfId="3" applyFont="1" applyAlignment="1">
      <alignment horizontal="center" vertical="center"/>
    </xf>
    <xf numFmtId="4" fontId="2" fillId="0" borderId="0" xfId="3" applyNumberFormat="1" applyFont="1" applyAlignment="1">
      <alignment vertical="center"/>
    </xf>
    <xf numFmtId="3" fontId="39" fillId="0" borderId="0" xfId="0" applyNumberFormat="1" applyFont="1" applyAlignment="1">
      <alignment horizontal="center" vertical="top"/>
    </xf>
    <xf numFmtId="169" fontId="2" fillId="0" borderId="0" xfId="0" applyNumberFormat="1" applyFont="1" applyAlignment="1">
      <alignment horizontal="center"/>
    </xf>
    <xf numFmtId="2" fontId="2" fillId="0" borderId="0" xfId="2" applyNumberFormat="1" applyFont="1" applyAlignment="1">
      <alignment horizontal="left" vertical="top" wrapText="1"/>
    </xf>
    <xf numFmtId="0" fontId="39" fillId="0" borderId="0" xfId="0" applyFont="1" applyAlignment="1">
      <alignment horizontal="right" vertical="top"/>
    </xf>
    <xf numFmtId="170" fontId="39" fillId="0" borderId="0" xfId="0" applyNumberFormat="1" applyFont="1" applyAlignment="1" applyProtection="1">
      <alignment horizontal="center" vertical="top"/>
      <protection locked="0"/>
    </xf>
    <xf numFmtId="0" fontId="2" fillId="0" borderId="0" xfId="0" applyFont="1"/>
    <xf numFmtId="0" fontId="2" fillId="0" borderId="0" xfId="0" applyFont="1" applyAlignment="1">
      <alignment horizontal="left" vertical="top"/>
    </xf>
    <xf numFmtId="4" fontId="2" fillId="0" borderId="0" xfId="3" applyNumberFormat="1" applyFont="1" applyAlignment="1" applyProtection="1">
      <alignment horizontal="center" vertical="center"/>
      <protection locked="0"/>
    </xf>
    <xf numFmtId="0" fontId="39" fillId="0" borderId="0" xfId="2" quotePrefix="1" applyFont="1" applyAlignment="1">
      <alignment horizontal="left" vertical="top"/>
    </xf>
    <xf numFmtId="4" fontId="2" fillId="0" borderId="0" xfId="3" applyNumberFormat="1" applyFont="1" applyAlignment="1" applyProtection="1">
      <alignment horizontal="right" vertical="top"/>
      <protection locked="0"/>
    </xf>
    <xf numFmtId="0" fontId="43" fillId="0" borderId="0" xfId="3" applyFont="1" applyAlignment="1">
      <alignment horizontal="left" vertical="top"/>
    </xf>
    <xf numFmtId="0" fontId="42" fillId="0" borderId="0" xfId="3" applyFont="1" applyAlignment="1">
      <alignment horizontal="right" vertical="top"/>
    </xf>
    <xf numFmtId="0" fontId="42" fillId="0" borderId="0" xfId="3" applyFont="1" applyAlignment="1">
      <alignment horizontal="justify" vertical="top"/>
    </xf>
    <xf numFmtId="0" fontId="42" fillId="0" borderId="0" xfId="3" applyFont="1" applyAlignment="1">
      <alignment horizontal="center" vertical="top"/>
    </xf>
    <xf numFmtId="4" fontId="42" fillId="0" borderId="0" xfId="3" applyNumberFormat="1" applyFont="1" applyAlignment="1" applyProtection="1">
      <alignment horizontal="center" vertical="top"/>
      <protection locked="0"/>
    </xf>
    <xf numFmtId="4" fontId="42" fillId="0" borderId="0" xfId="3" applyNumberFormat="1" applyFont="1" applyAlignment="1">
      <alignment vertical="top"/>
    </xf>
    <xf numFmtId="2" fontId="43" fillId="0" borderId="0" xfId="2" applyNumberFormat="1" applyFont="1" applyAlignment="1">
      <alignment horizontal="center" vertical="top"/>
    </xf>
    <xf numFmtId="4" fontId="2" fillId="0" borderId="0" xfId="0" applyNumberFormat="1" applyFont="1" applyAlignment="1" applyProtection="1">
      <alignment horizontal="right" vertical="top"/>
      <protection locked="0"/>
    </xf>
    <xf numFmtId="4" fontId="2" fillId="0" borderId="0" xfId="0" applyNumberFormat="1" applyFont="1" applyAlignment="1">
      <alignment horizontal="right" vertical="top"/>
    </xf>
    <xf numFmtId="0" fontId="2" fillId="0" borderId="0" xfId="4" applyFont="1" applyAlignment="1">
      <alignment horizontal="left" vertical="top"/>
    </xf>
    <xf numFmtId="0" fontId="2" fillId="0" borderId="0" xfId="4" applyFont="1" applyAlignment="1">
      <alignment horizontal="right" vertical="top"/>
    </xf>
    <xf numFmtId="0" fontId="2" fillId="0" borderId="0" xfId="4" applyFont="1" applyAlignment="1">
      <alignment horizontal="justify" vertical="top"/>
    </xf>
    <xf numFmtId="4" fontId="39" fillId="0" borderId="0" xfId="0" applyNumberFormat="1" applyFont="1" applyAlignment="1" applyProtection="1">
      <alignment horizontal="right" vertical="top"/>
      <protection locked="0"/>
    </xf>
    <xf numFmtId="0" fontId="3" fillId="0" borderId="0" xfId="2" applyAlignment="1">
      <alignment horizontal="center" vertical="top"/>
    </xf>
    <xf numFmtId="0" fontId="3" fillId="0" borderId="0" xfId="2" applyAlignment="1">
      <alignment horizontal="center"/>
    </xf>
    <xf numFmtId="4" fontId="3" fillId="0" borderId="0" xfId="2" applyNumberFormat="1" applyAlignment="1">
      <alignment horizontal="center"/>
    </xf>
    <xf numFmtId="4" fontId="3" fillId="0" borderId="0" xfId="2" applyNumberFormat="1"/>
    <xf numFmtId="0" fontId="3" fillId="0" borderId="0" xfId="2" applyAlignment="1">
      <alignment horizontal="right" vertical="top"/>
    </xf>
    <xf numFmtId="0" fontId="3" fillId="0" borderId="1" xfId="2" applyBorder="1" applyAlignment="1">
      <alignment horizontal="center"/>
    </xf>
    <xf numFmtId="0" fontId="3" fillId="0" borderId="2" xfId="2" applyBorder="1" applyAlignment="1">
      <alignment horizontal="center"/>
    </xf>
    <xf numFmtId="177" fontId="8" fillId="0" borderId="0" xfId="5" applyNumberFormat="1">
      <alignment horizontal="left" vertical="top"/>
    </xf>
    <xf numFmtId="4" fontId="4" fillId="0" borderId="1" xfId="306" applyNumberFormat="1" applyFont="1" applyBorder="1" applyAlignment="1">
      <alignment horizontal="justify" vertical="top"/>
    </xf>
    <xf numFmtId="0" fontId="4" fillId="0" borderId="1" xfId="3" applyFont="1" applyBorder="1" applyAlignment="1">
      <alignment horizontal="justify" vertical="top"/>
    </xf>
    <xf numFmtId="14" fontId="4" fillId="0" borderId="0" xfId="3" applyNumberFormat="1" applyFont="1" applyAlignment="1">
      <alignment horizontal="left" vertical="top"/>
    </xf>
    <xf numFmtId="0" fontId="8" fillId="0" borderId="0" xfId="0" applyFont="1" applyAlignment="1">
      <alignment horizontal="center"/>
    </xf>
    <xf numFmtId="4" fontId="8" fillId="0" borderId="0" xfId="0" applyNumberFormat="1" applyFont="1"/>
    <xf numFmtId="0" fontId="4" fillId="0" borderId="0" xfId="3" applyFont="1" applyAlignment="1">
      <alignment horizontal="left" vertical="center"/>
    </xf>
    <xf numFmtId="0" fontId="4" fillId="0" borderId="1" xfId="3" applyFont="1" applyBorder="1" applyAlignment="1">
      <alignment horizontal="justify" vertical="center"/>
    </xf>
    <xf numFmtId="0" fontId="4" fillId="0" borderId="0" xfId="0" applyFont="1" applyAlignment="1">
      <alignment horizontal="left" vertical="center"/>
    </xf>
    <xf numFmtId="169" fontId="4" fillId="0" borderId="0" xfId="0" applyNumberFormat="1" applyFont="1" applyAlignment="1">
      <alignment horizontal="center" vertical="center"/>
    </xf>
    <xf numFmtId="0" fontId="4" fillId="0" borderId="0" xfId="2" quotePrefix="1" applyFont="1" applyAlignment="1">
      <alignment horizontal="center" vertical="center"/>
    </xf>
    <xf numFmtId="4" fontId="6" fillId="0" borderId="0" xfId="0" applyNumberFormat="1" applyFont="1" applyAlignment="1">
      <alignment vertical="top"/>
    </xf>
    <xf numFmtId="0" fontId="6" fillId="0" borderId="0" xfId="0" applyFont="1" applyAlignment="1">
      <alignment horizontal="right" vertical="top"/>
    </xf>
    <xf numFmtId="0" fontId="6" fillId="0" borderId="0" xfId="0" applyFont="1" applyAlignment="1">
      <alignment horizontal="left" vertical="top" wrapText="1"/>
    </xf>
    <xf numFmtId="0" fontId="4" fillId="0" borderId="1" xfId="2" applyFont="1" applyBorder="1" applyAlignment="1">
      <alignment horizontal="center" vertical="top"/>
    </xf>
    <xf numFmtId="0" fontId="4" fillId="0" borderId="2" xfId="2" applyFont="1" applyBorder="1" applyAlignment="1">
      <alignment horizontal="center" vertical="top"/>
    </xf>
    <xf numFmtId="0" fontId="8" fillId="0" borderId="0" xfId="3" quotePrefix="1" applyFont="1" applyAlignment="1">
      <alignment horizontal="center" vertical="top"/>
    </xf>
    <xf numFmtId="4" fontId="2" fillId="0" borderId="0" xfId="2" applyNumberFormat="1" applyFont="1" applyAlignment="1" applyProtection="1">
      <alignment horizontal="right" vertical="top"/>
      <protection locked="0"/>
    </xf>
    <xf numFmtId="0" fontId="2" fillId="0" borderId="0" xfId="2" quotePrefix="1" applyFont="1" applyAlignment="1">
      <alignment horizontal="center" vertical="top"/>
    </xf>
    <xf numFmtId="0" fontId="8" fillId="0" borderId="0" xfId="3" applyFont="1" applyAlignment="1">
      <alignment horizontal="justify" vertical="center" wrapText="1"/>
    </xf>
    <xf numFmtId="0" fontId="4" fillId="0" borderId="0" xfId="3" applyFont="1" applyAlignment="1">
      <alignment horizontal="center" vertical="center"/>
    </xf>
    <xf numFmtId="0" fontId="8" fillId="0" borderId="0" xfId="0" applyFont="1" applyAlignment="1" applyProtection="1">
      <alignment horizontal="center" vertical="top"/>
      <protection locked="0"/>
    </xf>
    <xf numFmtId="2" fontId="8" fillId="0" borderId="0" xfId="0" applyNumberFormat="1" applyFont="1" applyAlignment="1">
      <alignment vertical="top"/>
    </xf>
    <xf numFmtId="170" fontId="4" fillId="0" borderId="0" xfId="0" applyNumberFormat="1" applyFont="1" applyAlignment="1" applyProtection="1">
      <alignment horizontal="center" vertical="top"/>
      <protection locked="0"/>
    </xf>
    <xf numFmtId="0" fontId="6" fillId="0" borderId="0" xfId="2" applyFont="1" applyAlignment="1">
      <alignment vertical="top"/>
    </xf>
    <xf numFmtId="4" fontId="8" fillId="0" borderId="1" xfId="3" applyNumberFormat="1" applyFont="1" applyBorder="1" applyAlignment="1">
      <alignment horizontal="justify" vertical="top"/>
    </xf>
    <xf numFmtId="0" fontId="8" fillId="0" borderId="0" xfId="2" quotePrefix="1" applyFont="1" applyAlignment="1">
      <alignment horizontal="left" vertical="top"/>
    </xf>
    <xf numFmtId="2" fontId="8" fillId="0" borderId="0" xfId="3" applyNumberFormat="1" applyFont="1" applyAlignment="1">
      <alignment horizontal="center" vertical="top"/>
    </xf>
    <xf numFmtId="3" fontId="8" fillId="0" borderId="0" xfId="0" applyNumberFormat="1" applyFont="1" applyAlignment="1">
      <alignment horizontal="center" vertical="top" wrapText="1"/>
    </xf>
    <xf numFmtId="4" fontId="8" fillId="0" borderId="0" xfId="0" applyNumberFormat="1" applyFont="1" applyAlignment="1" applyProtection="1">
      <alignment horizontal="center" vertical="top" shrinkToFit="1"/>
      <protection locked="0"/>
    </xf>
    <xf numFmtId="4" fontId="8" fillId="0" borderId="0" xfId="0" applyNumberFormat="1" applyFont="1" applyAlignment="1">
      <alignment horizontal="center" vertical="top" shrinkToFit="1"/>
    </xf>
    <xf numFmtId="0" fontId="8" fillId="0" borderId="0" xfId="2" quotePrefix="1" applyFont="1" applyAlignment="1">
      <alignment horizontal="center" vertical="top"/>
    </xf>
    <xf numFmtId="0" fontId="4" fillId="0" borderId="0" xfId="306" applyFont="1" applyAlignment="1">
      <alignment horizontal="center" vertical="top"/>
    </xf>
    <xf numFmtId="0" fontId="8" fillId="0" borderId="0" xfId="306" quotePrefix="1" applyFont="1" applyAlignment="1">
      <alignment horizontal="center" vertical="top"/>
    </xf>
    <xf numFmtId="0" fontId="46" fillId="0" borderId="0" xfId="0" applyFont="1" applyAlignment="1">
      <alignment horizontal="left" vertical="top" wrapText="1"/>
    </xf>
    <xf numFmtId="0" fontId="46" fillId="0" borderId="0" xfId="0" applyFont="1" applyAlignment="1">
      <alignment horizontal="center" vertical="top"/>
    </xf>
    <xf numFmtId="0" fontId="46" fillId="0" borderId="0" xfId="0" applyFont="1" applyAlignment="1">
      <alignment horizontal="right" vertical="top"/>
    </xf>
    <xf numFmtId="3" fontId="46" fillId="0" borderId="0" xfId="0" applyNumberFormat="1" applyFont="1" applyAlignment="1">
      <alignment horizontal="center" vertical="top"/>
    </xf>
    <xf numFmtId="170" fontId="46" fillId="0" borderId="0" xfId="0" applyNumberFormat="1" applyFont="1" applyAlignment="1" applyProtection="1">
      <alignment horizontal="right" vertical="top"/>
      <protection locked="0"/>
    </xf>
    <xf numFmtId="0" fontId="46" fillId="0" borderId="0" xfId="2" quotePrefix="1" applyFont="1" applyAlignment="1">
      <alignment horizontal="center" vertical="top"/>
    </xf>
    <xf numFmtId="4" fontId="46" fillId="0" borderId="0" xfId="0" applyNumberFormat="1" applyFont="1" applyAlignment="1">
      <alignment horizontal="right" vertical="top"/>
    </xf>
    <xf numFmtId="0" fontId="8" fillId="0" borderId="0" xfId="306" applyFont="1" applyAlignment="1">
      <alignment horizontal="justify" vertical="top" wrapText="1"/>
    </xf>
    <xf numFmtId="0" fontId="42" fillId="0" borderId="0" xfId="2" applyFont="1" applyAlignment="1">
      <alignment vertical="center"/>
    </xf>
    <xf numFmtId="0" fontId="31" fillId="0" borderId="0" xfId="2" applyFont="1" applyAlignment="1">
      <alignment horizontal="right" vertical="center"/>
    </xf>
    <xf numFmtId="167" fontId="8" fillId="0" borderId="0" xfId="6" applyAlignment="1">
      <alignment horizontal="justify" vertical="center"/>
    </xf>
    <xf numFmtId="0" fontId="42" fillId="0" borderId="0" xfId="2" applyFont="1" applyAlignment="1">
      <alignment horizontal="center" vertical="center"/>
    </xf>
    <xf numFmtId="4" fontId="42" fillId="0" borderId="0" xfId="2" applyNumberFormat="1" applyFont="1" applyAlignment="1">
      <alignment horizontal="center" vertical="center"/>
    </xf>
    <xf numFmtId="4" fontId="42" fillId="0" borderId="0" xfId="2" applyNumberFormat="1" applyFont="1" applyAlignment="1">
      <alignment vertical="center"/>
    </xf>
    <xf numFmtId="0" fontId="31" fillId="0" borderId="0" xfId="306" applyFont="1" applyAlignment="1">
      <alignment horizontal="left" vertical="top"/>
    </xf>
    <xf numFmtId="0" fontId="31" fillId="0" borderId="0" xfId="306" applyFont="1" applyAlignment="1">
      <alignment horizontal="right" vertical="center"/>
    </xf>
    <xf numFmtId="0" fontId="3" fillId="0" borderId="0" xfId="306" applyAlignment="1">
      <alignment horizontal="center" vertical="center"/>
    </xf>
    <xf numFmtId="4" fontId="3" fillId="0" borderId="0" xfId="306" applyNumberFormat="1" applyAlignment="1" applyProtection="1">
      <alignment horizontal="center" vertical="center"/>
      <protection locked="0"/>
    </xf>
    <xf numFmtId="4" fontId="3" fillId="0" borderId="0" xfId="306" applyNumberFormat="1" applyAlignment="1">
      <alignment vertical="center"/>
    </xf>
    <xf numFmtId="169" fontId="31" fillId="0" borderId="0" xfId="0" applyNumberFormat="1" applyFont="1" applyAlignment="1">
      <alignment horizontal="center" vertical="center"/>
    </xf>
    <xf numFmtId="0" fontId="31" fillId="0" borderId="0" xfId="0" applyFont="1" applyAlignment="1">
      <alignment horizontal="center" vertical="center"/>
    </xf>
    <xf numFmtId="4" fontId="31" fillId="0" borderId="0" xfId="0" applyNumberFormat="1" applyFont="1" applyAlignment="1" applyProtection="1">
      <alignment horizontal="center" vertical="center"/>
      <protection locked="0"/>
    </xf>
    <xf numFmtId="0" fontId="31" fillId="0" borderId="0" xfId="2" quotePrefix="1" applyFont="1" applyAlignment="1">
      <alignment horizontal="center" vertical="center"/>
    </xf>
    <xf numFmtId="4" fontId="31" fillId="0" borderId="0" xfId="0" applyNumberFormat="1" applyFont="1" applyAlignment="1">
      <alignment vertical="center"/>
    </xf>
    <xf numFmtId="0" fontId="8" fillId="0" borderId="1" xfId="306" applyFont="1" applyBorder="1" applyAlignment="1">
      <alignment horizontal="justify" vertical="center"/>
    </xf>
    <xf numFmtId="2" fontId="5" fillId="0" borderId="0" xfId="2" quotePrefix="1" applyNumberFormat="1" applyFont="1" applyAlignment="1">
      <alignment horizontal="justify" vertical="top" wrapText="1"/>
    </xf>
    <xf numFmtId="165" fontId="5" fillId="0" borderId="0" xfId="0" applyNumberFormat="1" applyFont="1" applyAlignment="1">
      <alignment horizontal="justify" vertical="top" wrapText="1"/>
    </xf>
    <xf numFmtId="4" fontId="8" fillId="0" borderId="0" xfId="0" applyNumberFormat="1" applyFont="1" applyAlignment="1" applyProtection="1">
      <alignment horizontal="right" vertical="top"/>
      <protection locked="0"/>
    </xf>
    <xf numFmtId="165" fontId="8" fillId="0" borderId="0" xfId="250" applyNumberFormat="1" applyFont="1" applyAlignment="1">
      <alignment horizontal="justify" vertical="top" wrapText="1"/>
    </xf>
    <xf numFmtId="0" fontId="8" fillId="0" borderId="2" xfId="306" quotePrefix="1" applyFont="1" applyBorder="1" applyAlignment="1">
      <alignment horizontal="justify" vertical="center"/>
    </xf>
    <xf numFmtId="4" fontId="8" fillId="0" borderId="0" xfId="306" applyNumberFormat="1" applyFont="1" applyAlignment="1" applyProtection="1">
      <alignment horizontal="center" vertical="center"/>
      <protection locked="0"/>
    </xf>
    <xf numFmtId="0" fontId="8" fillId="0" borderId="0" xfId="0" quotePrefix="1" applyFont="1" applyAlignment="1">
      <alignment horizontal="justify" vertical="center" wrapText="1"/>
    </xf>
    <xf numFmtId="0" fontId="8" fillId="0" borderId="2" xfId="0" quotePrefix="1" applyFont="1" applyBorder="1" applyAlignment="1">
      <alignment horizontal="justify" vertical="center" wrapText="1"/>
    </xf>
    <xf numFmtId="2" fontId="8" fillId="0" borderId="0" xfId="306" applyNumberFormat="1" applyFont="1" applyAlignment="1">
      <alignment horizontal="justify" vertical="top" wrapText="1"/>
    </xf>
    <xf numFmtId="1" fontId="4" fillId="0" borderId="0" xfId="0" applyNumberFormat="1" applyFont="1" applyAlignment="1">
      <alignment horizontal="center" vertical="center"/>
    </xf>
    <xf numFmtId="49" fontId="8" fillId="0" borderId="0" xfId="0" applyNumberFormat="1" applyFont="1" applyAlignment="1">
      <alignment horizontal="center" vertical="top"/>
    </xf>
    <xf numFmtId="174" fontId="8" fillId="0" borderId="0" xfId="105" applyFont="1" applyAlignment="1">
      <alignment horizontal="left" vertical="top" wrapText="1"/>
    </xf>
    <xf numFmtId="174" fontId="4" fillId="0" borderId="5" xfId="105" applyFont="1" applyBorder="1" applyAlignment="1">
      <alignment horizontal="justify"/>
    </xf>
    <xf numFmtId="174" fontId="4" fillId="0" borderId="5" xfId="105" applyFont="1" applyBorder="1" applyAlignment="1">
      <alignment horizontal="center"/>
    </xf>
    <xf numFmtId="4" fontId="4" fillId="0" borderId="5" xfId="105" applyNumberFormat="1" applyFont="1" applyBorder="1" applyProtection="1">
      <protection locked="0"/>
    </xf>
    <xf numFmtId="4" fontId="4" fillId="0" borderId="5" xfId="105" applyNumberFormat="1" applyFont="1" applyBorder="1" applyAlignment="1">
      <alignment horizontal="right"/>
    </xf>
    <xf numFmtId="2" fontId="8" fillId="0" borderId="1" xfId="306" applyNumberFormat="1" applyFont="1" applyBorder="1" applyAlignment="1">
      <alignment horizontal="justify" vertical="center"/>
    </xf>
    <xf numFmtId="4" fontId="8" fillId="0" borderId="0" xfId="306" applyNumberFormat="1" applyFont="1" applyAlignment="1" applyProtection="1">
      <alignment horizontal="right" vertical="top"/>
      <protection locked="0"/>
    </xf>
    <xf numFmtId="4" fontId="8" fillId="0" borderId="0" xfId="306" applyNumberFormat="1" applyFont="1" applyAlignment="1">
      <alignment vertical="top"/>
    </xf>
    <xf numFmtId="4" fontId="8" fillId="0" borderId="0" xfId="3" applyNumberFormat="1" applyFont="1" applyAlignment="1" applyProtection="1">
      <alignment horizontal="center" vertical="center"/>
      <protection locked="0"/>
    </xf>
    <xf numFmtId="0" fontId="4" fillId="0" borderId="0" xfId="2" quotePrefix="1" applyFont="1" applyAlignment="1">
      <alignment horizontal="left" vertical="top"/>
    </xf>
    <xf numFmtId="0" fontId="4" fillId="0" borderId="0" xfId="0" applyFont="1" applyAlignment="1">
      <alignment horizontal="left" vertical="top" wrapText="1"/>
    </xf>
    <xf numFmtId="0" fontId="8" fillId="0" borderId="0" xfId="3" quotePrefix="1" applyFont="1" applyAlignment="1">
      <alignment horizontal="justify" vertical="top" wrapText="1"/>
    </xf>
    <xf numFmtId="0" fontId="4" fillId="0" borderId="0" xfId="3" quotePrefix="1" applyFont="1" applyAlignment="1">
      <alignment horizontal="justify" vertical="top" wrapText="1"/>
    </xf>
    <xf numFmtId="1" fontId="4" fillId="0" borderId="0" xfId="3" applyNumberFormat="1" applyFont="1" applyAlignment="1">
      <alignment horizontal="center" vertical="top"/>
    </xf>
    <xf numFmtId="0" fontId="6" fillId="0" borderId="2" xfId="2" applyFont="1" applyBorder="1" applyAlignment="1">
      <alignment horizontal="left" vertical="top"/>
    </xf>
    <xf numFmtId="0" fontId="6" fillId="0" borderId="2" xfId="2" applyFont="1" applyBorder="1" applyAlignment="1">
      <alignment horizontal="right" vertical="top"/>
    </xf>
    <xf numFmtId="0" fontId="6" fillId="0" borderId="2" xfId="2" applyFont="1" applyBorder="1" applyAlignment="1">
      <alignment horizontal="justify" vertical="top"/>
    </xf>
    <xf numFmtId="0" fontId="6" fillId="0" borderId="2" xfId="2" applyFont="1" applyBorder="1" applyAlignment="1">
      <alignment horizontal="center" vertical="top"/>
    </xf>
    <xf numFmtId="4" fontId="6" fillId="0" borderId="2" xfId="2" applyNumberFormat="1" applyFont="1" applyBorder="1" applyAlignment="1" applyProtection="1">
      <alignment horizontal="center" vertical="top"/>
      <protection locked="0"/>
    </xf>
    <xf numFmtId="4" fontId="6" fillId="0" borderId="2" xfId="2" applyNumberFormat="1" applyFont="1" applyBorder="1" applyAlignment="1">
      <alignment vertical="top"/>
    </xf>
    <xf numFmtId="0" fontId="39" fillId="0" borderId="0" xfId="0" applyFont="1" applyAlignment="1">
      <alignment horizontal="left" vertical="top" wrapText="1"/>
    </xf>
    <xf numFmtId="1" fontId="39" fillId="0" borderId="0" xfId="0" applyNumberFormat="1" applyFont="1" applyAlignment="1">
      <alignment horizontal="center" vertical="top"/>
    </xf>
    <xf numFmtId="1" fontId="39" fillId="0" borderId="0" xfId="2" applyNumberFormat="1" applyFont="1" applyAlignment="1">
      <alignment horizontal="center" vertical="top"/>
    </xf>
    <xf numFmtId="170" fontId="46" fillId="0" borderId="0" xfId="0" applyNumberFormat="1" applyFont="1" applyAlignment="1" applyProtection="1">
      <alignment horizontal="center" vertical="top"/>
      <protection locked="0"/>
    </xf>
    <xf numFmtId="0" fontId="46" fillId="0" borderId="0" xfId="0" applyFont="1" applyAlignment="1">
      <alignment horizontal="left" vertical="top"/>
    </xf>
    <xf numFmtId="0" fontId="38" fillId="0" borderId="0" xfId="0" applyFont="1" applyAlignment="1">
      <alignment horizontal="right" vertical="top"/>
    </xf>
    <xf numFmtId="0" fontId="38" fillId="0" borderId="0" xfId="0" applyFont="1" applyAlignment="1">
      <alignment horizontal="justify" vertical="top" wrapText="1"/>
    </xf>
    <xf numFmtId="0" fontId="38" fillId="0" borderId="0" xfId="0" applyFont="1" applyAlignment="1">
      <alignment horizontal="center"/>
    </xf>
    <xf numFmtId="4" fontId="38" fillId="0" borderId="0" xfId="0" applyNumberFormat="1" applyFont="1" applyAlignment="1" applyProtection="1">
      <alignment horizontal="center" vertical="top"/>
      <protection locked="0"/>
    </xf>
    <xf numFmtId="4" fontId="38" fillId="0" borderId="0" xfId="0" applyNumberFormat="1" applyFont="1"/>
    <xf numFmtId="0" fontId="39" fillId="0" borderId="0" xfId="0" applyFont="1" applyAlignment="1">
      <alignment horizontal="left" vertical="center"/>
    </xf>
    <xf numFmtId="0" fontId="46" fillId="0" borderId="0" xfId="2" applyFont="1" applyAlignment="1">
      <alignment horizontal="right" vertical="top"/>
    </xf>
    <xf numFmtId="4" fontId="46" fillId="0" borderId="0" xfId="306" applyNumberFormat="1" applyFont="1" applyAlignment="1">
      <alignment horizontal="center" vertical="center"/>
    </xf>
    <xf numFmtId="0" fontId="46" fillId="0" borderId="0" xfId="0" applyFont="1" applyAlignment="1">
      <alignment horizontal="center" vertical="center"/>
    </xf>
    <xf numFmtId="4" fontId="46" fillId="0" borderId="0" xfId="0" applyNumberFormat="1" applyFont="1" applyAlignment="1" applyProtection="1">
      <alignment horizontal="center" vertical="top"/>
      <protection locked="0"/>
    </xf>
    <xf numFmtId="0" fontId="46" fillId="0" borderId="0" xfId="2" quotePrefix="1" applyFont="1" applyAlignment="1">
      <alignment horizontal="center" vertical="center"/>
    </xf>
    <xf numFmtId="0" fontId="32" fillId="0" borderId="0" xfId="2" applyFont="1" applyAlignment="1">
      <alignment horizontal="center" vertical="top"/>
    </xf>
    <xf numFmtId="0" fontId="32" fillId="0" borderId="0" xfId="0" applyFont="1" applyAlignment="1">
      <alignment vertical="top"/>
    </xf>
    <xf numFmtId="0" fontId="32" fillId="0" borderId="0" xfId="0" applyFont="1" applyAlignment="1">
      <alignment horizontal="left" vertical="top"/>
    </xf>
    <xf numFmtId="0" fontId="53" fillId="0" borderId="0" xfId="0" applyFont="1" applyAlignment="1">
      <alignment horizontal="right" vertical="top"/>
    </xf>
    <xf numFmtId="4" fontId="8" fillId="0" borderId="0" xfId="3" applyNumberFormat="1" applyFont="1" applyAlignment="1">
      <alignment horizontal="justify" vertical="top"/>
    </xf>
    <xf numFmtId="0" fontId="11" fillId="0" borderId="0" xfId="11" applyFont="1" applyAlignment="1">
      <alignment horizontal="center" vertical="center" wrapText="1"/>
    </xf>
    <xf numFmtId="0" fontId="12" fillId="0" borderId="0" xfId="11" applyFont="1" applyAlignment="1">
      <alignment horizontal="center" vertical="center" wrapText="1"/>
    </xf>
    <xf numFmtId="0" fontId="53" fillId="0" borderId="0" xfId="0" applyFont="1" applyAlignment="1">
      <alignment horizontal="center" vertical="top"/>
    </xf>
    <xf numFmtId="0" fontId="57" fillId="0" borderId="0" xfId="2" applyFont="1" applyAlignment="1">
      <alignment horizontal="center" vertical="center" wrapText="1"/>
    </xf>
    <xf numFmtId="0" fontId="8" fillId="0" borderId="0" xfId="0" applyFont="1" applyAlignment="1">
      <alignment horizontal="left" vertical="top" wrapText="1"/>
    </xf>
    <xf numFmtId="0" fontId="56" fillId="0" borderId="0" xfId="11" applyFont="1" applyAlignment="1">
      <alignment horizontal="center" vertical="center" wrapText="1"/>
    </xf>
    <xf numFmtId="0" fontId="12" fillId="0" borderId="0" xfId="11" applyFont="1" applyAlignment="1">
      <alignment horizontal="center" vertical="center" wrapText="1"/>
    </xf>
    <xf numFmtId="0" fontId="13" fillId="0" borderId="0" xfId="11" applyFont="1" applyAlignment="1">
      <alignment horizontal="left" vertical="top" wrapText="1"/>
    </xf>
    <xf numFmtId="0" fontId="35" fillId="0" borderId="0" xfId="2" applyFont="1" applyAlignment="1">
      <alignment horizontal="justify" vertical="top" wrapText="1"/>
    </xf>
    <xf numFmtId="0" fontId="32" fillId="0" borderId="0" xfId="2" applyFont="1" applyAlignment="1">
      <alignment horizontal="center" vertical="top"/>
    </xf>
    <xf numFmtId="0" fontId="6" fillId="0" borderId="0" xfId="2" applyFont="1" applyAlignment="1">
      <alignment horizontal="center" vertical="top"/>
    </xf>
    <xf numFmtId="0" fontId="57" fillId="0" borderId="0" xfId="2" applyFont="1" applyAlignment="1">
      <alignment horizontal="center" vertical="center" wrapText="1"/>
    </xf>
  </cellXfs>
  <cellStyles count="310">
    <cellStyle name="Comma" xfId="1" builtinId="3"/>
    <cellStyle name="Comma 10" xfId="12" xr:uid="{00000000-0005-0000-0000-000001000000}"/>
    <cellStyle name="Comma 11" xfId="13" xr:uid="{00000000-0005-0000-0000-000002000000}"/>
    <cellStyle name="Comma 12" xfId="14" xr:uid="{00000000-0005-0000-0000-000003000000}"/>
    <cellStyle name="Comma 13" xfId="15" xr:uid="{00000000-0005-0000-0000-000004000000}"/>
    <cellStyle name="Comma 14" xfId="16" xr:uid="{00000000-0005-0000-0000-000005000000}"/>
    <cellStyle name="Comma 15" xfId="17" xr:uid="{00000000-0005-0000-0000-000006000000}"/>
    <cellStyle name="Comma 16" xfId="18" xr:uid="{00000000-0005-0000-0000-000007000000}"/>
    <cellStyle name="Comma 17" xfId="19" xr:uid="{00000000-0005-0000-0000-000008000000}"/>
    <cellStyle name="Comma 18" xfId="20" xr:uid="{00000000-0005-0000-0000-000009000000}"/>
    <cellStyle name="Comma 19" xfId="21" xr:uid="{00000000-0005-0000-0000-00000A000000}"/>
    <cellStyle name="Comma 2" xfId="10" xr:uid="{00000000-0005-0000-0000-00000B000000}"/>
    <cellStyle name="Comma 2 2" xfId="22" xr:uid="{00000000-0005-0000-0000-00000C000000}"/>
    <cellStyle name="Comma 2 3" xfId="23" xr:uid="{00000000-0005-0000-0000-00000D000000}"/>
    <cellStyle name="Comma 2 4" xfId="24" xr:uid="{00000000-0005-0000-0000-00000E000000}"/>
    <cellStyle name="Comma 20" xfId="25" xr:uid="{00000000-0005-0000-0000-00000F000000}"/>
    <cellStyle name="Comma 21" xfId="26" xr:uid="{00000000-0005-0000-0000-000010000000}"/>
    <cellStyle name="Comma 22" xfId="27" xr:uid="{00000000-0005-0000-0000-000011000000}"/>
    <cellStyle name="Comma 23" xfId="28" xr:uid="{00000000-0005-0000-0000-000012000000}"/>
    <cellStyle name="Comma 24" xfId="29" xr:uid="{00000000-0005-0000-0000-000013000000}"/>
    <cellStyle name="Comma 25" xfId="30" xr:uid="{00000000-0005-0000-0000-000014000000}"/>
    <cellStyle name="Comma 26" xfId="31" xr:uid="{00000000-0005-0000-0000-000015000000}"/>
    <cellStyle name="Comma 27" xfId="32" xr:uid="{00000000-0005-0000-0000-000016000000}"/>
    <cellStyle name="Comma 28" xfId="33" xr:uid="{00000000-0005-0000-0000-000017000000}"/>
    <cellStyle name="Comma 29" xfId="34" xr:uid="{00000000-0005-0000-0000-000018000000}"/>
    <cellStyle name="Comma 3" xfId="35" xr:uid="{00000000-0005-0000-0000-000019000000}"/>
    <cellStyle name="Comma 3 10" xfId="36" xr:uid="{00000000-0005-0000-0000-00001A000000}"/>
    <cellStyle name="Comma 3 11" xfId="37" xr:uid="{00000000-0005-0000-0000-00001B000000}"/>
    <cellStyle name="Comma 3 12" xfId="38" xr:uid="{00000000-0005-0000-0000-00001C000000}"/>
    <cellStyle name="Comma 3 2" xfId="39" xr:uid="{00000000-0005-0000-0000-00001D000000}"/>
    <cellStyle name="Comma 3 3" xfId="40" xr:uid="{00000000-0005-0000-0000-00001E000000}"/>
    <cellStyle name="Comma 3 4" xfId="41" xr:uid="{00000000-0005-0000-0000-00001F000000}"/>
    <cellStyle name="Comma 3 5" xfId="42" xr:uid="{00000000-0005-0000-0000-000020000000}"/>
    <cellStyle name="Comma 3 6" xfId="43" xr:uid="{00000000-0005-0000-0000-000021000000}"/>
    <cellStyle name="Comma 3 7" xfId="44" xr:uid="{00000000-0005-0000-0000-000022000000}"/>
    <cellStyle name="Comma 3 8" xfId="45" xr:uid="{00000000-0005-0000-0000-000023000000}"/>
    <cellStyle name="Comma 3 9" xfId="46" xr:uid="{00000000-0005-0000-0000-000024000000}"/>
    <cellStyle name="Comma 30" xfId="47" xr:uid="{00000000-0005-0000-0000-000025000000}"/>
    <cellStyle name="Comma 31" xfId="48" xr:uid="{00000000-0005-0000-0000-000026000000}"/>
    <cellStyle name="Comma 32" xfId="49" xr:uid="{00000000-0005-0000-0000-000027000000}"/>
    <cellStyle name="Comma 33" xfId="50" xr:uid="{00000000-0005-0000-0000-000028000000}"/>
    <cellStyle name="Comma 34" xfId="51" xr:uid="{00000000-0005-0000-0000-000029000000}"/>
    <cellStyle name="Comma 35" xfId="52" xr:uid="{00000000-0005-0000-0000-00002A000000}"/>
    <cellStyle name="Comma 36" xfId="53" xr:uid="{00000000-0005-0000-0000-00002B000000}"/>
    <cellStyle name="Comma 37" xfId="54" xr:uid="{00000000-0005-0000-0000-00002C000000}"/>
    <cellStyle name="Comma 38" xfId="55" xr:uid="{00000000-0005-0000-0000-00002D000000}"/>
    <cellStyle name="Comma 39" xfId="56" xr:uid="{00000000-0005-0000-0000-00002E000000}"/>
    <cellStyle name="Comma 4" xfId="57" xr:uid="{00000000-0005-0000-0000-00002F000000}"/>
    <cellStyle name="Comma 40" xfId="58" xr:uid="{00000000-0005-0000-0000-000030000000}"/>
    <cellStyle name="Comma 41" xfId="59" xr:uid="{00000000-0005-0000-0000-000031000000}"/>
    <cellStyle name="Comma 42" xfId="60" xr:uid="{00000000-0005-0000-0000-000032000000}"/>
    <cellStyle name="Comma 43" xfId="61" xr:uid="{00000000-0005-0000-0000-000033000000}"/>
    <cellStyle name="Comma 44" xfId="62" xr:uid="{00000000-0005-0000-0000-000034000000}"/>
    <cellStyle name="Comma 45" xfId="63" xr:uid="{00000000-0005-0000-0000-000035000000}"/>
    <cellStyle name="Comma 46" xfId="64" xr:uid="{00000000-0005-0000-0000-000036000000}"/>
    <cellStyle name="Comma 47" xfId="65" xr:uid="{00000000-0005-0000-0000-000037000000}"/>
    <cellStyle name="Comma 48" xfId="66" xr:uid="{00000000-0005-0000-0000-000038000000}"/>
    <cellStyle name="Comma 49" xfId="67" xr:uid="{00000000-0005-0000-0000-000039000000}"/>
    <cellStyle name="Comma 5" xfId="68" xr:uid="{00000000-0005-0000-0000-00003A000000}"/>
    <cellStyle name="Comma 50" xfId="69" xr:uid="{00000000-0005-0000-0000-00003B000000}"/>
    <cellStyle name="Comma 51" xfId="70" xr:uid="{00000000-0005-0000-0000-00003C000000}"/>
    <cellStyle name="Comma 52" xfId="71" xr:uid="{00000000-0005-0000-0000-00003D000000}"/>
    <cellStyle name="Comma 53" xfId="72" xr:uid="{00000000-0005-0000-0000-00003E000000}"/>
    <cellStyle name="Comma 54" xfId="73" xr:uid="{00000000-0005-0000-0000-00003F000000}"/>
    <cellStyle name="Comma 55" xfId="74" xr:uid="{00000000-0005-0000-0000-000040000000}"/>
    <cellStyle name="Comma 56" xfId="75" xr:uid="{00000000-0005-0000-0000-000041000000}"/>
    <cellStyle name="Comma 57" xfId="76" xr:uid="{00000000-0005-0000-0000-000042000000}"/>
    <cellStyle name="Comma 58" xfId="77" xr:uid="{00000000-0005-0000-0000-000043000000}"/>
    <cellStyle name="Comma 59" xfId="78" xr:uid="{00000000-0005-0000-0000-000044000000}"/>
    <cellStyle name="Comma 6" xfId="79" xr:uid="{00000000-0005-0000-0000-000045000000}"/>
    <cellStyle name="Comma 60" xfId="80" xr:uid="{00000000-0005-0000-0000-000046000000}"/>
    <cellStyle name="Comma 61" xfId="81" xr:uid="{00000000-0005-0000-0000-000047000000}"/>
    <cellStyle name="Comma 62" xfId="82" xr:uid="{00000000-0005-0000-0000-000048000000}"/>
    <cellStyle name="Comma 63" xfId="83" xr:uid="{00000000-0005-0000-0000-000049000000}"/>
    <cellStyle name="Comma 64" xfId="84" xr:uid="{00000000-0005-0000-0000-00004A000000}"/>
    <cellStyle name="Comma 65" xfId="85" xr:uid="{00000000-0005-0000-0000-00004B000000}"/>
    <cellStyle name="Comma 7" xfId="86" xr:uid="{00000000-0005-0000-0000-00004C000000}"/>
    <cellStyle name="Comma 8" xfId="87" xr:uid="{00000000-0005-0000-0000-00004D000000}"/>
    <cellStyle name="Comma 9" xfId="88" xr:uid="{00000000-0005-0000-0000-00004E000000}"/>
    <cellStyle name="FL-dok" xfId="7" xr:uid="{00000000-0005-0000-0000-00004F000000}"/>
    <cellStyle name="FL-dok-kom." xfId="6" xr:uid="{00000000-0005-0000-0000-000050000000}"/>
    <cellStyle name="FL-dok-m'" xfId="5" xr:uid="{00000000-0005-0000-0000-000051000000}"/>
    <cellStyle name="FL-dok-m2" xfId="9" xr:uid="{00000000-0005-0000-0000-000052000000}"/>
    <cellStyle name="FL-dok-m3" xfId="8" xr:uid="{00000000-0005-0000-0000-000053000000}"/>
    <cellStyle name="kolona A" xfId="89" xr:uid="{00000000-0005-0000-0000-000054000000}"/>
    <cellStyle name="kolona B" xfId="90" xr:uid="{00000000-0005-0000-0000-000055000000}"/>
    <cellStyle name="kolona F" xfId="91" xr:uid="{00000000-0005-0000-0000-000056000000}"/>
    <cellStyle name="kolona G" xfId="92" xr:uid="{00000000-0005-0000-0000-000057000000}"/>
    <cellStyle name="kolona2" xfId="93" xr:uid="{00000000-0005-0000-0000-000058000000}"/>
    <cellStyle name="Naslov" xfId="94" xr:uid="{00000000-0005-0000-0000-000059000000}"/>
    <cellStyle name="Normal" xfId="0" builtinId="0"/>
    <cellStyle name="Normal 10" xfId="95" xr:uid="{00000000-0005-0000-0000-00005B000000}"/>
    <cellStyle name="Normal 10 2" xfId="309" xr:uid="{B5AA2183-0EF4-4AF9-9CD2-D87923411EB3}"/>
    <cellStyle name="Normal 100" xfId="11" xr:uid="{00000000-0005-0000-0000-00005C000000}"/>
    <cellStyle name="Normal 101" xfId="96" xr:uid="{00000000-0005-0000-0000-00005D000000}"/>
    <cellStyle name="Normal 102" xfId="97" xr:uid="{00000000-0005-0000-0000-00005E000000}"/>
    <cellStyle name="Normal 103" xfId="98" xr:uid="{00000000-0005-0000-0000-00005F000000}"/>
    <cellStyle name="Normal 104" xfId="99" xr:uid="{00000000-0005-0000-0000-000060000000}"/>
    <cellStyle name="Normal 104 2" xfId="100" xr:uid="{00000000-0005-0000-0000-000061000000}"/>
    <cellStyle name="Normal 105" xfId="101" xr:uid="{00000000-0005-0000-0000-000062000000}"/>
    <cellStyle name="Normal 105 2" xfId="102" xr:uid="{00000000-0005-0000-0000-000063000000}"/>
    <cellStyle name="Normal 106" xfId="103" xr:uid="{00000000-0005-0000-0000-000064000000}"/>
    <cellStyle name="Normal 107" xfId="104" xr:uid="{00000000-0005-0000-0000-000065000000}"/>
    <cellStyle name="Normal 108" xfId="105" xr:uid="{00000000-0005-0000-0000-000066000000}"/>
    <cellStyle name="Normal 109" xfId="308" xr:uid="{00000000-0005-0000-0000-000067000000}"/>
    <cellStyle name="Normal 11" xfId="106" xr:uid="{00000000-0005-0000-0000-000068000000}"/>
    <cellStyle name="Normal 110" xfId="307" xr:uid="{00000000-0005-0000-0000-000069000000}"/>
    <cellStyle name="Normal 12" xfId="107" xr:uid="{00000000-0005-0000-0000-00006A000000}"/>
    <cellStyle name="Normal 13" xfId="108" xr:uid="{00000000-0005-0000-0000-00006B000000}"/>
    <cellStyle name="Normal 14" xfId="109" xr:uid="{00000000-0005-0000-0000-00006C000000}"/>
    <cellStyle name="Normal 15" xfId="110" xr:uid="{00000000-0005-0000-0000-00006D000000}"/>
    <cellStyle name="Normal 16" xfId="111" xr:uid="{00000000-0005-0000-0000-00006E000000}"/>
    <cellStyle name="Normal 17" xfId="112" xr:uid="{00000000-0005-0000-0000-00006F000000}"/>
    <cellStyle name="Normal 18" xfId="113" xr:uid="{00000000-0005-0000-0000-000070000000}"/>
    <cellStyle name="Normal 19" xfId="114" xr:uid="{00000000-0005-0000-0000-000071000000}"/>
    <cellStyle name="Normal 2" xfId="115" xr:uid="{00000000-0005-0000-0000-000072000000}"/>
    <cellStyle name="Normal 2 2" xfId="116" xr:uid="{00000000-0005-0000-0000-000073000000}"/>
    <cellStyle name="Normal 2 2 2" xfId="117" xr:uid="{00000000-0005-0000-0000-000074000000}"/>
    <cellStyle name="Normal 2 3" xfId="118" xr:uid="{00000000-0005-0000-0000-000075000000}"/>
    <cellStyle name="Normal 2 3 2" xfId="119" xr:uid="{00000000-0005-0000-0000-000076000000}"/>
    <cellStyle name="Normal 2 4" xfId="120" xr:uid="{00000000-0005-0000-0000-000077000000}"/>
    <cellStyle name="Normal 2 5" xfId="121" xr:uid="{00000000-0005-0000-0000-000078000000}"/>
    <cellStyle name="Normal 2 6" xfId="122" xr:uid="{00000000-0005-0000-0000-000079000000}"/>
    <cellStyle name="Normal 2 7" xfId="123" xr:uid="{00000000-0005-0000-0000-00007A000000}"/>
    <cellStyle name="Normal 2_01_ZG HOLDING_TROSKOVNIK_II_faza_090211" xfId="124" xr:uid="{00000000-0005-0000-0000-00007B000000}"/>
    <cellStyle name="Normal 20" xfId="125" xr:uid="{00000000-0005-0000-0000-00007C000000}"/>
    <cellStyle name="Normal 21" xfId="126" xr:uid="{00000000-0005-0000-0000-00007D000000}"/>
    <cellStyle name="Normal 22" xfId="127" xr:uid="{00000000-0005-0000-0000-00007E000000}"/>
    <cellStyle name="Normal 23" xfId="128" xr:uid="{00000000-0005-0000-0000-00007F000000}"/>
    <cellStyle name="Normal 24" xfId="129" xr:uid="{00000000-0005-0000-0000-000080000000}"/>
    <cellStyle name="Normal 25" xfId="130" xr:uid="{00000000-0005-0000-0000-000081000000}"/>
    <cellStyle name="Normal 26" xfId="131" xr:uid="{00000000-0005-0000-0000-000082000000}"/>
    <cellStyle name="Normal 27" xfId="132" xr:uid="{00000000-0005-0000-0000-000083000000}"/>
    <cellStyle name="Normal 28" xfId="133" xr:uid="{00000000-0005-0000-0000-000084000000}"/>
    <cellStyle name="Normal 29" xfId="134" xr:uid="{00000000-0005-0000-0000-000085000000}"/>
    <cellStyle name="Normal 3" xfId="4" xr:uid="{00000000-0005-0000-0000-000086000000}"/>
    <cellStyle name="Normal 3 2" xfId="135" xr:uid="{00000000-0005-0000-0000-000087000000}"/>
    <cellStyle name="Normal 3 3" xfId="136" xr:uid="{00000000-0005-0000-0000-000088000000}"/>
    <cellStyle name="Normal 3 4" xfId="137" xr:uid="{00000000-0005-0000-0000-000089000000}"/>
    <cellStyle name="Normal 3 5" xfId="138" xr:uid="{00000000-0005-0000-0000-00008A000000}"/>
    <cellStyle name="Normal 3 6" xfId="139" xr:uid="{00000000-0005-0000-0000-00008B000000}"/>
    <cellStyle name="Normal 30" xfId="140" xr:uid="{00000000-0005-0000-0000-00008C000000}"/>
    <cellStyle name="Normal 31" xfId="141" xr:uid="{00000000-0005-0000-0000-00008D000000}"/>
    <cellStyle name="Normal 32" xfId="142" xr:uid="{00000000-0005-0000-0000-00008E000000}"/>
    <cellStyle name="Normal 33" xfId="143" xr:uid="{00000000-0005-0000-0000-00008F000000}"/>
    <cellStyle name="Normal 34" xfId="144" xr:uid="{00000000-0005-0000-0000-000090000000}"/>
    <cellStyle name="Normal 35" xfId="145" xr:uid="{00000000-0005-0000-0000-000091000000}"/>
    <cellStyle name="Normal 36" xfId="146" xr:uid="{00000000-0005-0000-0000-000092000000}"/>
    <cellStyle name="Normal 37" xfId="147" xr:uid="{00000000-0005-0000-0000-000093000000}"/>
    <cellStyle name="Normal 38" xfId="148" xr:uid="{00000000-0005-0000-0000-000094000000}"/>
    <cellStyle name="Normal 39" xfId="149" xr:uid="{00000000-0005-0000-0000-000095000000}"/>
    <cellStyle name="Normal 4" xfId="150" xr:uid="{00000000-0005-0000-0000-000096000000}"/>
    <cellStyle name="Normal 40" xfId="151" xr:uid="{00000000-0005-0000-0000-000097000000}"/>
    <cellStyle name="Normal 41" xfId="152" xr:uid="{00000000-0005-0000-0000-000098000000}"/>
    <cellStyle name="Normal 42" xfId="153" xr:uid="{00000000-0005-0000-0000-000099000000}"/>
    <cellStyle name="Normal 43" xfId="154" xr:uid="{00000000-0005-0000-0000-00009A000000}"/>
    <cellStyle name="Normal 44" xfId="155" xr:uid="{00000000-0005-0000-0000-00009B000000}"/>
    <cellStyle name="Normal 45" xfId="156" xr:uid="{00000000-0005-0000-0000-00009C000000}"/>
    <cellStyle name="Normal 46" xfId="157" xr:uid="{00000000-0005-0000-0000-00009D000000}"/>
    <cellStyle name="Normal 47" xfId="158" xr:uid="{00000000-0005-0000-0000-00009E000000}"/>
    <cellStyle name="Normal 47 10" xfId="159" xr:uid="{00000000-0005-0000-0000-00009F000000}"/>
    <cellStyle name="Normal 47 11" xfId="160" xr:uid="{00000000-0005-0000-0000-0000A0000000}"/>
    <cellStyle name="Normal 47 12" xfId="161" xr:uid="{00000000-0005-0000-0000-0000A1000000}"/>
    <cellStyle name="Normal 47 13" xfId="162" xr:uid="{00000000-0005-0000-0000-0000A2000000}"/>
    <cellStyle name="Normal 47 14" xfId="163" xr:uid="{00000000-0005-0000-0000-0000A3000000}"/>
    <cellStyle name="Normal 47 15" xfId="164" xr:uid="{00000000-0005-0000-0000-0000A4000000}"/>
    <cellStyle name="Normal 47 16" xfId="165" xr:uid="{00000000-0005-0000-0000-0000A5000000}"/>
    <cellStyle name="Normal 47 17" xfId="166" xr:uid="{00000000-0005-0000-0000-0000A6000000}"/>
    <cellStyle name="Normal 47 18" xfId="167" xr:uid="{00000000-0005-0000-0000-0000A7000000}"/>
    <cellStyle name="Normal 47 19" xfId="168" xr:uid="{00000000-0005-0000-0000-0000A8000000}"/>
    <cellStyle name="Normal 47 2" xfId="169" xr:uid="{00000000-0005-0000-0000-0000A9000000}"/>
    <cellStyle name="Normal 47 2 2" xfId="170" xr:uid="{00000000-0005-0000-0000-0000AA000000}"/>
    <cellStyle name="Normal 47 2_GP_Troškovnik_sanitarna_vodovod_JUG-konačni" xfId="171" xr:uid="{00000000-0005-0000-0000-0000AB000000}"/>
    <cellStyle name="Normal 47 20" xfId="172" xr:uid="{00000000-0005-0000-0000-0000AC000000}"/>
    <cellStyle name="Normal 47 21" xfId="173" xr:uid="{00000000-0005-0000-0000-0000AD000000}"/>
    <cellStyle name="Normal 47 22" xfId="174" xr:uid="{00000000-0005-0000-0000-0000AE000000}"/>
    <cellStyle name="Normal 47 23" xfId="175" xr:uid="{00000000-0005-0000-0000-0000AF000000}"/>
    <cellStyle name="Normal 47 24" xfId="176" xr:uid="{00000000-0005-0000-0000-0000B0000000}"/>
    <cellStyle name="Normal 47 25" xfId="177" xr:uid="{00000000-0005-0000-0000-0000B1000000}"/>
    <cellStyle name="Normal 47 26" xfId="178" xr:uid="{00000000-0005-0000-0000-0000B2000000}"/>
    <cellStyle name="Normal 47 27" xfId="179" xr:uid="{00000000-0005-0000-0000-0000B3000000}"/>
    <cellStyle name="Normal 47 28" xfId="180" xr:uid="{00000000-0005-0000-0000-0000B4000000}"/>
    <cellStyle name="Normal 47 29" xfId="181" xr:uid="{00000000-0005-0000-0000-0000B5000000}"/>
    <cellStyle name="Normal 47 3" xfId="182" xr:uid="{00000000-0005-0000-0000-0000B6000000}"/>
    <cellStyle name="Normal 47 30" xfId="183" xr:uid="{00000000-0005-0000-0000-0000B7000000}"/>
    <cellStyle name="Normal 47 31" xfId="184" xr:uid="{00000000-0005-0000-0000-0000B8000000}"/>
    <cellStyle name="Normal 47 32" xfId="185" xr:uid="{00000000-0005-0000-0000-0000B9000000}"/>
    <cellStyle name="Normal 47 33" xfId="186" xr:uid="{00000000-0005-0000-0000-0000BA000000}"/>
    <cellStyle name="Normal 47 34" xfId="187" xr:uid="{00000000-0005-0000-0000-0000BB000000}"/>
    <cellStyle name="Normal 47 35" xfId="188" xr:uid="{00000000-0005-0000-0000-0000BC000000}"/>
    <cellStyle name="Normal 47 36" xfId="189" xr:uid="{00000000-0005-0000-0000-0000BD000000}"/>
    <cellStyle name="Normal 47 37" xfId="190" xr:uid="{00000000-0005-0000-0000-0000BE000000}"/>
    <cellStyle name="Normal 47 38" xfId="191" xr:uid="{00000000-0005-0000-0000-0000BF000000}"/>
    <cellStyle name="Normal 47 39" xfId="192" xr:uid="{00000000-0005-0000-0000-0000C0000000}"/>
    <cellStyle name="Normal 47 4" xfId="193" xr:uid="{00000000-0005-0000-0000-0000C1000000}"/>
    <cellStyle name="Normal 47 40" xfId="194" xr:uid="{00000000-0005-0000-0000-0000C2000000}"/>
    <cellStyle name="Normal 47 41" xfId="195" xr:uid="{00000000-0005-0000-0000-0000C3000000}"/>
    <cellStyle name="Normal 47 42" xfId="196" xr:uid="{00000000-0005-0000-0000-0000C4000000}"/>
    <cellStyle name="Normal 47 43" xfId="197" xr:uid="{00000000-0005-0000-0000-0000C5000000}"/>
    <cellStyle name="Normal 47 44" xfId="198" xr:uid="{00000000-0005-0000-0000-0000C6000000}"/>
    <cellStyle name="Normal 47 45" xfId="199" xr:uid="{00000000-0005-0000-0000-0000C7000000}"/>
    <cellStyle name="Normal 47 46" xfId="200" xr:uid="{00000000-0005-0000-0000-0000C8000000}"/>
    <cellStyle name="Normal 47 47" xfId="201" xr:uid="{00000000-0005-0000-0000-0000C9000000}"/>
    <cellStyle name="Normal 47 48" xfId="202" xr:uid="{00000000-0005-0000-0000-0000CA000000}"/>
    <cellStyle name="Normal 47 49" xfId="203" xr:uid="{00000000-0005-0000-0000-0000CB000000}"/>
    <cellStyle name="Normal 47 5" xfId="204" xr:uid="{00000000-0005-0000-0000-0000CC000000}"/>
    <cellStyle name="Normal 47 50" xfId="205" xr:uid="{00000000-0005-0000-0000-0000CD000000}"/>
    <cellStyle name="Normal 47 51" xfId="206" xr:uid="{00000000-0005-0000-0000-0000CE000000}"/>
    <cellStyle name="Normal 47 52" xfId="207" xr:uid="{00000000-0005-0000-0000-0000CF000000}"/>
    <cellStyle name="Normal 47 53" xfId="208" xr:uid="{00000000-0005-0000-0000-0000D0000000}"/>
    <cellStyle name="Normal 47 54" xfId="209" xr:uid="{00000000-0005-0000-0000-0000D1000000}"/>
    <cellStyle name="Normal 47 55" xfId="210" xr:uid="{00000000-0005-0000-0000-0000D2000000}"/>
    <cellStyle name="Normal 47 56" xfId="211" xr:uid="{00000000-0005-0000-0000-0000D3000000}"/>
    <cellStyle name="Normal 47 57" xfId="212" xr:uid="{00000000-0005-0000-0000-0000D4000000}"/>
    <cellStyle name="Normal 47 58" xfId="213" xr:uid="{00000000-0005-0000-0000-0000D5000000}"/>
    <cellStyle name="Normal 47 59" xfId="214" xr:uid="{00000000-0005-0000-0000-0000D6000000}"/>
    <cellStyle name="Normal 47 6" xfId="215" xr:uid="{00000000-0005-0000-0000-0000D7000000}"/>
    <cellStyle name="Normal 47 60" xfId="216" xr:uid="{00000000-0005-0000-0000-0000D8000000}"/>
    <cellStyle name="Normal 47 61" xfId="217" xr:uid="{00000000-0005-0000-0000-0000D9000000}"/>
    <cellStyle name="Normal 47 62" xfId="218" xr:uid="{00000000-0005-0000-0000-0000DA000000}"/>
    <cellStyle name="Normal 47 63" xfId="219" xr:uid="{00000000-0005-0000-0000-0000DB000000}"/>
    <cellStyle name="Normal 47 64" xfId="220" xr:uid="{00000000-0005-0000-0000-0000DC000000}"/>
    <cellStyle name="Normal 47 65" xfId="221" xr:uid="{00000000-0005-0000-0000-0000DD000000}"/>
    <cellStyle name="Normal 47 66" xfId="222" xr:uid="{00000000-0005-0000-0000-0000DE000000}"/>
    <cellStyle name="Normal 47 7" xfId="223" xr:uid="{00000000-0005-0000-0000-0000DF000000}"/>
    <cellStyle name="Normal 47 8" xfId="224" xr:uid="{00000000-0005-0000-0000-0000E0000000}"/>
    <cellStyle name="Normal 47 9" xfId="225" xr:uid="{00000000-0005-0000-0000-0000E1000000}"/>
    <cellStyle name="Normal 47_GP_Troškovnik_sanitarna_vodovod_JUG-konačni" xfId="226" xr:uid="{00000000-0005-0000-0000-0000E2000000}"/>
    <cellStyle name="Normal 48" xfId="227" xr:uid="{00000000-0005-0000-0000-0000E3000000}"/>
    <cellStyle name="Normal 48 10" xfId="228" xr:uid="{00000000-0005-0000-0000-0000E4000000}"/>
    <cellStyle name="Normal 48 11" xfId="229" xr:uid="{00000000-0005-0000-0000-0000E5000000}"/>
    <cellStyle name="Normal 48 2" xfId="230" xr:uid="{00000000-0005-0000-0000-0000E6000000}"/>
    <cellStyle name="Normal 48 3" xfId="231" xr:uid="{00000000-0005-0000-0000-0000E7000000}"/>
    <cellStyle name="Normal 48 4" xfId="232" xr:uid="{00000000-0005-0000-0000-0000E8000000}"/>
    <cellStyle name="Normal 48 5" xfId="233" xr:uid="{00000000-0005-0000-0000-0000E9000000}"/>
    <cellStyle name="Normal 48 6" xfId="234" xr:uid="{00000000-0005-0000-0000-0000EA000000}"/>
    <cellStyle name="Normal 48 7" xfId="235" xr:uid="{00000000-0005-0000-0000-0000EB000000}"/>
    <cellStyle name="Normal 48 8" xfId="236" xr:uid="{00000000-0005-0000-0000-0000EC000000}"/>
    <cellStyle name="Normal 48 9" xfId="237" xr:uid="{00000000-0005-0000-0000-0000ED000000}"/>
    <cellStyle name="Normal 49" xfId="238" xr:uid="{00000000-0005-0000-0000-0000EE000000}"/>
    <cellStyle name="Normal 5" xfId="239" xr:uid="{00000000-0005-0000-0000-0000EF000000}"/>
    <cellStyle name="Normal 50" xfId="240" xr:uid="{00000000-0005-0000-0000-0000F0000000}"/>
    <cellStyle name="Normal 51" xfId="241" xr:uid="{00000000-0005-0000-0000-0000F1000000}"/>
    <cellStyle name="Normal 52" xfId="242" xr:uid="{00000000-0005-0000-0000-0000F2000000}"/>
    <cellStyle name="Normal 53" xfId="243" xr:uid="{00000000-0005-0000-0000-0000F3000000}"/>
    <cellStyle name="Normal 54" xfId="244" xr:uid="{00000000-0005-0000-0000-0000F4000000}"/>
    <cellStyle name="Normal 55" xfId="245" xr:uid="{00000000-0005-0000-0000-0000F5000000}"/>
    <cellStyle name="Normal 56" xfId="246" xr:uid="{00000000-0005-0000-0000-0000F6000000}"/>
    <cellStyle name="Normal 57" xfId="247" xr:uid="{00000000-0005-0000-0000-0000F7000000}"/>
    <cellStyle name="Normal 58" xfId="248" xr:uid="{00000000-0005-0000-0000-0000F8000000}"/>
    <cellStyle name="Normal 59" xfId="249" xr:uid="{00000000-0005-0000-0000-0000F9000000}"/>
    <cellStyle name="Normal 6" xfId="250" xr:uid="{00000000-0005-0000-0000-0000FA000000}"/>
    <cellStyle name="Normal 6 2"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8" xfId="273" xr:uid="{00000000-0005-0000-0000-000011010000}"/>
    <cellStyle name="Normal 80" xfId="274" xr:uid="{00000000-0005-0000-0000-000012010000}"/>
    <cellStyle name="Normal 81" xfId="275" xr:uid="{00000000-0005-0000-0000-000013010000}"/>
    <cellStyle name="Normal 82" xfId="276" xr:uid="{00000000-0005-0000-0000-000014010000}"/>
    <cellStyle name="Normal 83" xfId="277" xr:uid="{00000000-0005-0000-0000-000015010000}"/>
    <cellStyle name="Normal 84" xfId="278" xr:uid="{00000000-0005-0000-0000-000016010000}"/>
    <cellStyle name="Normal 85" xfId="279" xr:uid="{00000000-0005-0000-0000-000017010000}"/>
    <cellStyle name="Normal 86" xfId="280" xr:uid="{00000000-0005-0000-0000-000018010000}"/>
    <cellStyle name="Normal 87" xfId="281" xr:uid="{00000000-0005-0000-0000-000019010000}"/>
    <cellStyle name="Normal 88" xfId="282" xr:uid="{00000000-0005-0000-0000-00001A010000}"/>
    <cellStyle name="Normal 89" xfId="283" xr:uid="{00000000-0005-0000-0000-00001B010000}"/>
    <cellStyle name="Normal 9" xfId="284" xr:uid="{00000000-0005-0000-0000-00001C010000}"/>
    <cellStyle name="Normal 90" xfId="285" xr:uid="{00000000-0005-0000-0000-00001D010000}"/>
    <cellStyle name="Normal 91" xfId="286" xr:uid="{00000000-0005-0000-0000-00001E010000}"/>
    <cellStyle name="Normal 92" xfId="287" xr:uid="{00000000-0005-0000-0000-00001F010000}"/>
    <cellStyle name="Normal 93" xfId="288" xr:uid="{00000000-0005-0000-0000-000020010000}"/>
    <cellStyle name="Normal 94" xfId="289" xr:uid="{00000000-0005-0000-0000-000021010000}"/>
    <cellStyle name="Normal 95" xfId="290" xr:uid="{00000000-0005-0000-0000-000022010000}"/>
    <cellStyle name="Normal 96" xfId="291" xr:uid="{00000000-0005-0000-0000-000023010000}"/>
    <cellStyle name="Normal 97" xfId="292" xr:uid="{00000000-0005-0000-0000-000024010000}"/>
    <cellStyle name="Normal 98" xfId="293" xr:uid="{00000000-0005-0000-0000-000025010000}"/>
    <cellStyle name="Normal 99" xfId="294" xr:uid="{00000000-0005-0000-0000-000026010000}"/>
    <cellStyle name="Normal_Troskovnik_Kanalizacija" xfId="2" xr:uid="{00000000-0005-0000-0000-000027010000}"/>
    <cellStyle name="Normal_Troskovnik_Kanalizacija 2" xfId="3" xr:uid="{00000000-0005-0000-0000-000028010000}"/>
    <cellStyle name="Normal_Troskovnik_Kanalizacija 2 2" xfId="306" xr:uid="{00000000-0005-0000-0000-000029010000}"/>
    <cellStyle name="Normale_DVS_TROSKOVNI_BETONI" xfId="295" xr:uid="{00000000-0005-0000-0000-00002A010000}"/>
    <cellStyle name="Normalno 2" xfId="296" xr:uid="{00000000-0005-0000-0000-00002B010000}"/>
    <cellStyle name="Obično 2" xfId="297" xr:uid="{00000000-0005-0000-0000-00002C010000}"/>
    <cellStyle name="Obično 4" xfId="298" xr:uid="{00000000-0005-0000-0000-00002D010000}"/>
    <cellStyle name="Percent 2" xfId="299" xr:uid="{00000000-0005-0000-0000-00002E010000}"/>
    <cellStyle name="saki" xfId="300" xr:uid="{00000000-0005-0000-0000-00002F010000}"/>
    <cellStyle name="Style 1" xfId="301" xr:uid="{00000000-0005-0000-0000-000030010000}"/>
    <cellStyle name="Ukupno" xfId="302" xr:uid="{00000000-0005-0000-0000-000031010000}"/>
    <cellStyle name="Ukupno 2" xfId="303" xr:uid="{00000000-0005-0000-0000-000032010000}"/>
    <cellStyle name="Zarez 2" xfId="304" xr:uid="{00000000-0005-0000-0000-000033010000}"/>
    <cellStyle name="Zarez 2 2" xfId="305" xr:uid="{00000000-0005-0000-0000-00003401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EN-W10\Posao\Posao\Sven\KD%20ViK%20Rijeka\Radna%20Zona%20Bodulovo\Troskovnik\Ugovrni%20tro&#353;kovnik%20%20IZGRADNJA%20J%20-%20VG%20od%200+000%20DO%206+3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EN-W10\Posao\Posao\ogulin\PZ-UPOV\tro&#353;kovnik\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iapreka07\DONJA%20DRENOVA\posao\Plinacro\primavera%20d\2.%20UT%20KNJIGA%204A%20Telekomunikacij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4:C36"/>
  <sheetViews>
    <sheetView view="pageBreakPreview" topLeftCell="A10" zoomScale="115" zoomScaleNormal="100" zoomScaleSheetLayoutView="115" workbookViewId="0">
      <selection activeCell="B22" sqref="B22"/>
    </sheetView>
  </sheetViews>
  <sheetFormatPr defaultColWidth="9" defaultRowHeight="12.75"/>
  <cols>
    <col min="1" max="1" width="4.5" style="97" customWidth="1"/>
    <col min="2" max="2" width="52.875" style="97" customWidth="1"/>
    <col min="3" max="3" width="39.125" style="97" customWidth="1"/>
    <col min="4" max="16384" width="9" style="97"/>
  </cols>
  <sheetData>
    <row r="14" spans="1:3" ht="47.25" customHeight="1">
      <c r="A14" s="432" t="s">
        <v>341</v>
      </c>
      <c r="B14" s="432"/>
      <c r="C14" s="432"/>
    </row>
    <row r="15" spans="1:3" ht="20.25">
      <c r="A15" s="427"/>
      <c r="B15" s="427"/>
      <c r="C15" s="427"/>
    </row>
    <row r="18" spans="1:3" ht="44.25" customHeight="1">
      <c r="A18" s="433" t="s">
        <v>340</v>
      </c>
      <c r="B18" s="433"/>
      <c r="C18" s="433"/>
    </row>
    <row r="19" spans="1:3" ht="18">
      <c r="A19" s="428"/>
      <c r="B19" s="428"/>
      <c r="C19" s="428"/>
    </row>
    <row r="20" spans="1:3" ht="18">
      <c r="A20" s="428"/>
      <c r="B20" s="428"/>
      <c r="C20" s="428"/>
    </row>
    <row r="21" spans="1:3" ht="18">
      <c r="A21" s="428"/>
      <c r="B21" s="428"/>
      <c r="C21" s="428"/>
    </row>
    <row r="22" spans="1:3" ht="18">
      <c r="A22" s="428"/>
      <c r="B22" s="428"/>
      <c r="C22" s="428"/>
    </row>
    <row r="23" spans="1:3" ht="18">
      <c r="A23" s="428"/>
      <c r="B23" s="428"/>
      <c r="C23" s="428"/>
    </row>
    <row r="24" spans="1:3" ht="18">
      <c r="A24" s="428"/>
      <c r="B24" s="428"/>
      <c r="C24" s="428"/>
    </row>
    <row r="26" spans="1:3" s="98" customFormat="1" ht="14.25"/>
    <row r="29" spans="1:3" s="98" customFormat="1" ht="14.25"/>
    <row r="30" spans="1:3" s="99" customFormat="1" ht="15">
      <c r="A30" s="99" t="s">
        <v>71</v>
      </c>
    </row>
    <row r="31" spans="1:3" s="99" customFormat="1" ht="15"/>
    <row r="32" spans="1:3" s="99" customFormat="1" ht="15">
      <c r="A32" s="215" t="s">
        <v>0</v>
      </c>
      <c r="B32" s="434" t="s">
        <v>165</v>
      </c>
      <c r="C32" s="434"/>
    </row>
    <row r="33" spans="1:3" s="99" customFormat="1" ht="15.75">
      <c r="A33" s="100" t="s">
        <v>72</v>
      </c>
      <c r="B33" s="101" t="s">
        <v>111</v>
      </c>
      <c r="C33" s="102"/>
    </row>
    <row r="34" spans="1:3" s="99" customFormat="1" ht="15.75">
      <c r="A34" s="100" t="s">
        <v>101</v>
      </c>
      <c r="B34" s="101" t="s">
        <v>166</v>
      </c>
      <c r="C34" s="102"/>
    </row>
    <row r="35" spans="1:3" s="99" customFormat="1" ht="15.75">
      <c r="A35" s="100" t="s">
        <v>125</v>
      </c>
      <c r="B35" s="100" t="s">
        <v>167</v>
      </c>
      <c r="C35" s="102"/>
    </row>
    <row r="36" spans="1:3" ht="15">
      <c r="A36" s="100" t="s">
        <v>183</v>
      </c>
      <c r="B36" s="100" t="s">
        <v>249</v>
      </c>
    </row>
  </sheetData>
  <mergeCells count="3">
    <mergeCell ref="A14:C14"/>
    <mergeCell ref="A18:C18"/>
    <mergeCell ref="B32:C32"/>
  </mergeCells>
  <pageMargins left="0.70866141732283472" right="0.70866141732283472" top="0.74803149606299213" bottom="0.74803149606299213" header="0.31496062992125984" footer="0.31496062992125984"/>
  <pageSetup paperSize="9" scale="82" fitToHeight="0" orientation="portrait" r:id="rId1"/>
  <headerFooter>
    <oddHeader>&amp;L&amp;8FLUM-ING d.o.o.</oddHeader>
    <oddFooter>&amp;L&amp;8Vodovodni ogranak i kanalizacijska
mreža u Banjolu, Vatrogasni dom-Brni</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9"/>
  <sheetViews>
    <sheetView showGridLines="0" showZeros="0" view="pageBreakPreview" topLeftCell="A130" zoomScale="90" zoomScaleNormal="40" zoomScaleSheetLayoutView="90" workbookViewId="0">
      <selection activeCell="J64" sqref="J64"/>
    </sheetView>
  </sheetViews>
  <sheetFormatPr defaultColWidth="9" defaultRowHeight="14.25"/>
  <cols>
    <col min="1" max="1" width="5.625" style="181" customWidth="1"/>
    <col min="2" max="2" width="5.625" style="8" customWidth="1"/>
    <col min="3" max="3" width="60.25" style="43" customWidth="1"/>
    <col min="4" max="4" width="2" style="10" bestFit="1" customWidth="1"/>
    <col min="5" max="5" width="8.625" style="10" customWidth="1"/>
    <col min="6" max="6" width="3.5" style="10" bestFit="1" customWidth="1"/>
    <col min="7" max="7" width="10.375" style="8" customWidth="1"/>
    <col min="8" max="16384" width="9" style="43"/>
  </cols>
  <sheetData>
    <row r="1" spans="1:7">
      <c r="C1" s="150"/>
    </row>
    <row r="2" spans="1:7" ht="18">
      <c r="A2" s="424" t="s">
        <v>0</v>
      </c>
      <c r="C2" s="423" t="s">
        <v>165</v>
      </c>
    </row>
    <row r="3" spans="1:7">
      <c r="C3" s="150"/>
    </row>
    <row r="4" spans="1:7" ht="15">
      <c r="C4" s="1" t="s">
        <v>40</v>
      </c>
    </row>
    <row r="5" spans="1:7" s="12" customFormat="1" ht="12.75">
      <c r="A5" s="183"/>
      <c r="B5" s="309"/>
      <c r="C5" s="152" t="s">
        <v>168</v>
      </c>
      <c r="D5" s="310"/>
      <c r="E5" s="311"/>
      <c r="F5" s="310"/>
      <c r="G5" s="312"/>
    </row>
    <row r="6" spans="1:7" s="12" customFormat="1" ht="12.75">
      <c r="A6" s="183"/>
      <c r="B6" s="313" t="s">
        <v>39</v>
      </c>
      <c r="C6" s="153" t="s">
        <v>164</v>
      </c>
      <c r="D6" s="310"/>
      <c r="E6" s="154">
        <v>254</v>
      </c>
      <c r="F6" s="310"/>
      <c r="G6" s="312"/>
    </row>
    <row r="7" spans="1:7" s="12" customFormat="1" ht="12.75">
      <c r="A7" s="183"/>
      <c r="B7" s="309"/>
      <c r="C7" s="155" t="s">
        <v>107</v>
      </c>
      <c r="D7" s="314"/>
      <c r="E7" s="157">
        <f>SUM(E6:E6)</f>
        <v>254</v>
      </c>
      <c r="F7" s="310"/>
      <c r="G7" s="312"/>
    </row>
    <row r="8" spans="1:7" s="12" customFormat="1" ht="12.75">
      <c r="A8" s="183"/>
      <c r="B8" s="309"/>
      <c r="C8" s="158"/>
      <c r="D8" s="310"/>
      <c r="E8" s="311"/>
      <c r="F8" s="310"/>
      <c r="G8" s="312"/>
    </row>
    <row r="9" spans="1:7" s="12" customFormat="1" ht="12.75">
      <c r="A9" s="183"/>
      <c r="B9" s="309"/>
      <c r="C9" s="152" t="s">
        <v>169</v>
      </c>
      <c r="D9" s="310"/>
      <c r="E9" s="311"/>
      <c r="F9" s="310"/>
      <c r="G9" s="312"/>
    </row>
    <row r="10" spans="1:7" s="12" customFormat="1" ht="12.75">
      <c r="A10" s="183"/>
      <c r="B10" s="313" t="s">
        <v>84</v>
      </c>
      <c r="C10" s="216" t="s">
        <v>170</v>
      </c>
      <c r="D10" s="315"/>
      <c r="E10" s="217">
        <v>184</v>
      </c>
      <c r="F10" s="310"/>
      <c r="G10" s="312"/>
    </row>
    <row r="11" spans="1:7" s="12" customFormat="1" ht="12.75">
      <c r="A11" s="183"/>
      <c r="B11" s="309"/>
      <c r="C11" s="158" t="s">
        <v>106</v>
      </c>
      <c r="D11" s="310"/>
      <c r="E11" s="156">
        <f>SUM(E10:E10)</f>
        <v>184</v>
      </c>
      <c r="F11" s="310"/>
      <c r="G11" s="312"/>
    </row>
    <row r="12" spans="1:7" s="12" customFormat="1" ht="12.75">
      <c r="A12" s="183"/>
      <c r="B12" s="309"/>
      <c r="C12" s="153"/>
      <c r="D12" s="310"/>
      <c r="E12" s="311"/>
      <c r="F12" s="310"/>
      <c r="G12" s="312"/>
    </row>
    <row r="13" spans="1:7" s="12" customFormat="1" ht="12.75">
      <c r="A13" s="183"/>
      <c r="B13" s="309"/>
      <c r="C13" s="152" t="s">
        <v>171</v>
      </c>
      <c r="D13" s="310"/>
      <c r="E13" s="311"/>
      <c r="F13" s="310"/>
      <c r="G13" s="312"/>
    </row>
    <row r="14" spans="1:7" s="12" customFormat="1" ht="12.75">
      <c r="A14" s="183"/>
      <c r="B14" s="313" t="s">
        <v>172</v>
      </c>
      <c r="C14" s="216" t="s">
        <v>184</v>
      </c>
      <c r="D14" s="310"/>
      <c r="E14" s="154">
        <v>186</v>
      </c>
      <c r="F14" s="310"/>
      <c r="G14" s="312"/>
    </row>
    <row r="15" spans="1:7" s="12" customFormat="1" ht="12.75">
      <c r="A15" s="183"/>
      <c r="B15" s="309"/>
      <c r="C15" s="158" t="s">
        <v>173</v>
      </c>
      <c r="D15" s="314"/>
      <c r="E15" s="157">
        <f>SUM(E14:E14)</f>
        <v>186</v>
      </c>
      <c r="F15" s="310"/>
      <c r="G15" s="312"/>
    </row>
    <row r="16" spans="1:7" s="12" customFormat="1" ht="12.75">
      <c r="A16" s="183"/>
      <c r="B16" s="309"/>
      <c r="C16" s="153"/>
      <c r="D16" s="310"/>
      <c r="E16" s="311"/>
      <c r="F16" s="310"/>
      <c r="G16" s="312"/>
    </row>
    <row r="17" spans="1:7" s="12" customFormat="1" ht="41.45" customHeight="1">
      <c r="A17" s="183"/>
      <c r="B17" s="309"/>
      <c r="C17" s="435" t="s">
        <v>185</v>
      </c>
      <c r="D17" s="435"/>
      <c r="E17" s="435"/>
      <c r="F17" s="310"/>
      <c r="G17" s="312"/>
    </row>
    <row r="18" spans="1:7">
      <c r="A18" s="292"/>
      <c r="B18" s="231"/>
      <c r="C18" s="233"/>
      <c r="D18" s="232"/>
      <c r="E18" s="232"/>
      <c r="F18" s="232"/>
      <c r="G18" s="231"/>
    </row>
    <row r="19" spans="1:7" ht="15.75">
      <c r="A19" s="93" t="s">
        <v>1</v>
      </c>
      <c r="B19" s="62"/>
      <c r="C19" s="3" t="s">
        <v>102</v>
      </c>
      <c r="D19" s="2"/>
      <c r="E19" s="104"/>
      <c r="F19" s="2"/>
      <c r="G19" s="65"/>
    </row>
    <row r="20" spans="1:7" s="12" customFormat="1" ht="15">
      <c r="A20" s="184"/>
      <c r="B20" s="16"/>
      <c r="C20" s="17"/>
      <c r="D20" s="10"/>
      <c r="E20" s="180"/>
      <c r="F20" s="10"/>
      <c r="G20" s="20"/>
    </row>
    <row r="21" spans="1:7" s="12" customFormat="1" ht="143.25">
      <c r="A21" s="184" t="s">
        <v>3</v>
      </c>
      <c r="B21" s="8"/>
      <c r="C21" s="9" t="s">
        <v>186</v>
      </c>
      <c r="D21" s="10"/>
      <c r="E21" s="189"/>
      <c r="F21" s="10"/>
      <c r="G21" s="11"/>
    </row>
    <row r="22" spans="1:7" s="12" customFormat="1" ht="15">
      <c r="A22" s="184"/>
      <c r="B22" s="13" t="s">
        <v>4</v>
      </c>
      <c r="C22" s="81">
        <v>1</v>
      </c>
      <c r="D22" s="7" t="s">
        <v>95</v>
      </c>
      <c r="E22" s="162"/>
      <c r="F22" s="14" t="s">
        <v>6</v>
      </c>
      <c r="G22" s="66">
        <f>C22*E22</f>
        <v>0</v>
      </c>
    </row>
    <row r="23" spans="1:7" ht="15">
      <c r="A23" s="223"/>
      <c r="B23" s="234"/>
      <c r="C23" s="243"/>
      <c r="D23" s="220"/>
      <c r="E23" s="236"/>
      <c r="F23" s="220"/>
      <c r="G23" s="304"/>
    </row>
    <row r="24" spans="1:7" s="12" customFormat="1" ht="201">
      <c r="A24" s="184" t="s">
        <v>7</v>
      </c>
      <c r="B24" s="16"/>
      <c r="C24" s="29" t="s">
        <v>88</v>
      </c>
      <c r="D24" s="4"/>
      <c r="E24" s="163"/>
      <c r="F24" s="4"/>
      <c r="G24" s="66"/>
    </row>
    <row r="25" spans="1:7" s="12" customFormat="1" ht="15">
      <c r="A25" s="184"/>
      <c r="B25" s="16"/>
      <c r="C25" s="29" t="s">
        <v>89</v>
      </c>
      <c r="D25" s="4"/>
      <c r="E25" s="163"/>
      <c r="F25" s="4"/>
      <c r="G25" s="66"/>
    </row>
    <row r="26" spans="1:7" ht="15">
      <c r="A26" s="184"/>
      <c r="B26" s="13" t="s">
        <v>8</v>
      </c>
      <c r="C26" s="27">
        <v>254</v>
      </c>
      <c r="D26" s="7" t="s">
        <v>95</v>
      </c>
      <c r="E26" s="162"/>
      <c r="F26" s="14" t="s">
        <v>6</v>
      </c>
      <c r="G26" s="66">
        <f>C26*E26</f>
        <v>0</v>
      </c>
    </row>
    <row r="27" spans="1:7" ht="15">
      <c r="A27" s="223"/>
      <c r="B27" s="234"/>
      <c r="C27" s="243"/>
      <c r="D27" s="220"/>
      <c r="E27" s="236"/>
      <c r="F27" s="220"/>
      <c r="G27" s="304"/>
    </row>
    <row r="28" spans="1:7" s="12" customFormat="1" ht="157.5">
      <c r="A28" s="184" t="s">
        <v>41</v>
      </c>
      <c r="B28" s="8"/>
      <c r="C28" s="29" t="s">
        <v>17</v>
      </c>
      <c r="D28" s="10"/>
      <c r="E28" s="180"/>
      <c r="F28" s="10"/>
      <c r="G28" s="42"/>
    </row>
    <row r="29" spans="1:7" s="12" customFormat="1" ht="15">
      <c r="A29" s="184"/>
      <c r="B29" s="13" t="s">
        <v>4</v>
      </c>
      <c r="C29" s="81">
        <v>3</v>
      </c>
      <c r="D29" s="7" t="s">
        <v>95</v>
      </c>
      <c r="E29" s="162"/>
      <c r="F29" s="14" t="s">
        <v>6</v>
      </c>
      <c r="G29" s="66">
        <f>C29*E29</f>
        <v>0</v>
      </c>
    </row>
    <row r="30" spans="1:7">
      <c r="A30" s="305"/>
      <c r="B30" s="306"/>
      <c r="C30" s="307"/>
      <c r="D30" s="232"/>
      <c r="E30" s="236"/>
      <c r="F30" s="232"/>
      <c r="G30" s="304"/>
    </row>
    <row r="31" spans="1:7" s="12" customFormat="1" ht="143.25">
      <c r="A31" s="184" t="s">
        <v>42</v>
      </c>
      <c r="B31" s="8"/>
      <c r="C31" s="9" t="s">
        <v>187</v>
      </c>
      <c r="D31" s="10"/>
      <c r="E31" s="189"/>
      <c r="F31" s="10"/>
      <c r="G31" s="11"/>
    </row>
    <row r="32" spans="1:7" s="12" customFormat="1" ht="15">
      <c r="A32" s="184"/>
      <c r="B32" s="13" t="s">
        <v>4</v>
      </c>
      <c r="C32" s="81">
        <v>1</v>
      </c>
      <c r="D32" s="7" t="s">
        <v>95</v>
      </c>
      <c r="E32" s="162"/>
      <c r="F32" s="14" t="s">
        <v>6</v>
      </c>
      <c r="G32" s="66">
        <f>C32*E32</f>
        <v>0</v>
      </c>
    </row>
    <row r="33" spans="1:7" s="12" customFormat="1" ht="15">
      <c r="A33" s="223"/>
      <c r="B33" s="234"/>
      <c r="C33" s="235"/>
      <c r="D33" s="220"/>
      <c r="E33" s="221"/>
      <c r="F33" s="220"/>
      <c r="G33" s="259"/>
    </row>
    <row r="34" spans="1:7" s="12" customFormat="1" ht="100.5">
      <c r="A34" s="184" t="s">
        <v>43</v>
      </c>
      <c r="B34" s="8"/>
      <c r="C34" s="19" t="s">
        <v>45</v>
      </c>
      <c r="D34" s="10"/>
      <c r="E34" s="189"/>
      <c r="F34" s="10"/>
      <c r="G34" s="11"/>
    </row>
    <row r="35" spans="1:7" s="12" customFormat="1" ht="15">
      <c r="A35" s="184"/>
      <c r="B35" s="13" t="s">
        <v>4</v>
      </c>
      <c r="C35" s="81">
        <v>1</v>
      </c>
      <c r="D35" s="7" t="s">
        <v>95</v>
      </c>
      <c r="E35" s="162"/>
      <c r="F35" s="14" t="s">
        <v>6</v>
      </c>
      <c r="G35" s="66">
        <f>C35*E35</f>
        <v>0</v>
      </c>
    </row>
    <row r="36" spans="1:7" s="12" customFormat="1" ht="15">
      <c r="A36" s="223"/>
      <c r="B36" s="234"/>
      <c r="C36" s="235"/>
      <c r="D36" s="220"/>
      <c r="E36" s="221"/>
      <c r="F36" s="220"/>
      <c r="G36" s="259"/>
    </row>
    <row r="37" spans="1:7" s="12" customFormat="1" ht="72">
      <c r="A37" s="184" t="s">
        <v>44</v>
      </c>
      <c r="B37" s="8"/>
      <c r="C37" s="19" t="s">
        <v>46</v>
      </c>
      <c r="D37" s="10"/>
      <c r="E37" s="189"/>
      <c r="F37" s="10"/>
      <c r="G37" s="11"/>
    </row>
    <row r="38" spans="1:7" s="12" customFormat="1" ht="15">
      <c r="A38" s="184"/>
      <c r="B38" s="13" t="s">
        <v>4</v>
      </c>
      <c r="C38" s="81">
        <v>1</v>
      </c>
      <c r="D38" s="7" t="s">
        <v>95</v>
      </c>
      <c r="E38" s="162"/>
      <c r="F38" s="14" t="s">
        <v>6</v>
      </c>
      <c r="G38" s="66">
        <f>C38*E38</f>
        <v>0</v>
      </c>
    </row>
    <row r="39" spans="1:7" s="151" customFormat="1" ht="16.5">
      <c r="A39" s="230"/>
      <c r="B39" s="231"/>
      <c r="C39" s="246"/>
      <c r="D39" s="232"/>
      <c r="E39" s="247"/>
      <c r="F39" s="232"/>
      <c r="G39" s="244"/>
    </row>
    <row r="40" spans="1:7" s="12" customFormat="1" ht="114.75">
      <c r="A40" s="184" t="s">
        <v>47</v>
      </c>
      <c r="B40" s="16"/>
      <c r="C40" s="159" t="s">
        <v>188</v>
      </c>
      <c r="D40" s="4"/>
      <c r="E40" s="163"/>
      <c r="F40" s="4"/>
      <c r="G40" s="67"/>
    </row>
    <row r="41" spans="1:7" ht="15">
      <c r="A41" s="184"/>
      <c r="B41" s="13" t="s">
        <v>4</v>
      </c>
      <c r="C41" s="81">
        <v>1</v>
      </c>
      <c r="D41" s="7" t="s">
        <v>95</v>
      </c>
      <c r="E41" s="162"/>
      <c r="F41" s="14" t="s">
        <v>6</v>
      </c>
      <c r="G41" s="66">
        <f>C41*E41</f>
        <v>0</v>
      </c>
    </row>
    <row r="42" spans="1:7" s="12" customFormat="1" ht="15">
      <c r="A42" s="223"/>
      <c r="B42" s="225"/>
      <c r="C42" s="242"/>
      <c r="D42" s="226"/>
      <c r="E42" s="227"/>
      <c r="F42" s="228"/>
      <c r="G42" s="229"/>
    </row>
    <row r="43" spans="1:7" s="12" customFormat="1" ht="314.25">
      <c r="A43" s="184" t="s">
        <v>48</v>
      </c>
      <c r="B43" s="16"/>
      <c r="C43" s="48" t="s">
        <v>85</v>
      </c>
      <c r="D43" s="4"/>
      <c r="E43" s="163"/>
      <c r="F43" s="4"/>
      <c r="G43" s="67"/>
    </row>
    <row r="44" spans="1:7" ht="15">
      <c r="A44" s="184"/>
      <c r="B44" s="13" t="s">
        <v>4</v>
      </c>
      <c r="C44" s="81">
        <v>1</v>
      </c>
      <c r="D44" s="7" t="s">
        <v>5</v>
      </c>
      <c r="E44" s="162"/>
      <c r="F44" s="14" t="s">
        <v>6</v>
      </c>
      <c r="G44" s="66">
        <f>C44*E44</f>
        <v>0</v>
      </c>
    </row>
    <row r="45" spans="1:7" s="151" customFormat="1" ht="16.5">
      <c r="A45" s="230"/>
      <c r="B45" s="231"/>
      <c r="C45" s="246"/>
      <c r="D45" s="232"/>
      <c r="E45" s="247"/>
      <c r="F45" s="232"/>
      <c r="G45" s="244"/>
    </row>
    <row r="46" spans="1:7" s="12" customFormat="1" ht="129">
      <c r="A46" s="184" t="s">
        <v>49</v>
      </c>
      <c r="B46" s="16"/>
      <c r="C46" s="49" t="s">
        <v>16</v>
      </c>
      <c r="D46" s="4"/>
      <c r="E46" s="180"/>
      <c r="F46" s="4"/>
      <c r="G46" s="42"/>
    </row>
    <row r="47" spans="1:7" ht="15">
      <c r="A47" s="185"/>
      <c r="B47" s="23"/>
      <c r="C47" s="149">
        <v>254</v>
      </c>
      <c r="D47" s="24"/>
      <c r="E47" s="161"/>
      <c r="F47" s="24"/>
      <c r="G47" s="68"/>
    </row>
    <row r="48" spans="1:7" ht="15">
      <c r="A48" s="185"/>
      <c r="B48" s="23"/>
      <c r="C48" s="26" t="str">
        <f>"UKUPNO: "&amp;C49&amp;" m'"</f>
        <v>UKUPNO: 254 m'</v>
      </c>
      <c r="D48" s="24"/>
      <c r="E48" s="161"/>
      <c r="F48" s="24"/>
      <c r="G48" s="68"/>
    </row>
    <row r="49" spans="1:7" s="12" customFormat="1" ht="15">
      <c r="A49" s="184"/>
      <c r="B49" s="13" t="s">
        <v>8</v>
      </c>
      <c r="C49" s="27">
        <f>SUM(C47:C47)</f>
        <v>254</v>
      </c>
      <c r="D49" s="7" t="s">
        <v>5</v>
      </c>
      <c r="E49" s="162"/>
      <c r="F49" s="14" t="s">
        <v>6</v>
      </c>
      <c r="G49" s="66">
        <f>C49*E49</f>
        <v>0</v>
      </c>
    </row>
    <row r="50" spans="1:7" ht="15">
      <c r="A50" s="223"/>
      <c r="B50" s="234"/>
      <c r="C50" s="265"/>
      <c r="D50" s="220"/>
      <c r="E50" s="236"/>
      <c r="F50" s="220"/>
      <c r="G50" s="304"/>
    </row>
    <row r="51" spans="1:7" ht="114.75">
      <c r="A51" s="184" t="s">
        <v>50</v>
      </c>
      <c r="B51" s="16"/>
      <c r="C51" s="21" t="s">
        <v>108</v>
      </c>
      <c r="D51" s="4"/>
      <c r="E51" s="163"/>
      <c r="F51" s="4"/>
      <c r="G51" s="67"/>
    </row>
    <row r="52" spans="1:7" ht="15">
      <c r="A52" s="185"/>
      <c r="B52" s="23"/>
      <c r="C52" s="316">
        <v>254</v>
      </c>
      <c r="D52" s="24"/>
      <c r="E52" s="161"/>
      <c r="F52" s="24"/>
      <c r="G52" s="25"/>
    </row>
    <row r="53" spans="1:7" s="12" customFormat="1" ht="15">
      <c r="A53" s="185"/>
      <c r="B53" s="23"/>
      <c r="C53" s="26" t="str">
        <f>"UKUPNO: "&amp;C54&amp;" m'"</f>
        <v>UKUPNO: 254 m'</v>
      </c>
      <c r="D53" s="24"/>
      <c r="E53" s="161"/>
      <c r="F53" s="24"/>
      <c r="G53" s="68"/>
    </row>
    <row r="54" spans="1:7" s="12" customFormat="1" ht="15">
      <c r="A54" s="184"/>
      <c r="B54" s="13" t="s">
        <v>8</v>
      </c>
      <c r="C54" s="27">
        <f>SUM(C52:C52)</f>
        <v>254</v>
      </c>
      <c r="D54" s="7" t="s">
        <v>95</v>
      </c>
      <c r="E54" s="162"/>
      <c r="F54" s="14" t="s">
        <v>6</v>
      </c>
      <c r="G54" s="66">
        <f>C54*E54</f>
        <v>0</v>
      </c>
    </row>
    <row r="55" spans="1:7" s="12" customFormat="1" ht="15">
      <c r="A55" s="230"/>
      <c r="B55" s="231"/>
      <c r="C55" s="246"/>
      <c r="D55" s="232"/>
      <c r="E55" s="247"/>
      <c r="F55" s="232"/>
      <c r="G55" s="244"/>
    </row>
    <row r="56" spans="1:7" s="12" customFormat="1" ht="201">
      <c r="A56" s="184" t="s">
        <v>51</v>
      </c>
      <c r="B56" s="8"/>
      <c r="C56" s="31" t="s">
        <v>9</v>
      </c>
      <c r="D56" s="10"/>
      <c r="E56" s="191"/>
      <c r="F56" s="10"/>
      <c r="G56" s="32"/>
    </row>
    <row r="57" spans="1:7" s="12" customFormat="1" ht="15">
      <c r="A57" s="7" t="s">
        <v>91</v>
      </c>
      <c r="B57" s="34"/>
      <c r="C57" s="35" t="s">
        <v>10</v>
      </c>
      <c r="D57" s="24"/>
      <c r="E57" s="161"/>
      <c r="F57" s="24"/>
      <c r="G57" s="42" t="s">
        <v>11</v>
      </c>
    </row>
    <row r="58" spans="1:7" s="12" customFormat="1" ht="15">
      <c r="A58" s="7"/>
      <c r="B58" s="36" t="s">
        <v>4</v>
      </c>
      <c r="C58" s="81">
        <v>3</v>
      </c>
      <c r="D58" s="30" t="s">
        <v>95</v>
      </c>
      <c r="E58" s="162"/>
      <c r="F58" s="14" t="s">
        <v>6</v>
      </c>
      <c r="G58" s="66">
        <f>C58*E58</f>
        <v>0</v>
      </c>
    </row>
    <row r="59" spans="1:7" s="12" customFormat="1" ht="15">
      <c r="A59" s="30"/>
      <c r="B59" s="36"/>
      <c r="C59" s="37"/>
      <c r="D59" s="30"/>
      <c r="E59" s="162"/>
      <c r="F59" s="14"/>
      <c r="G59" s="66"/>
    </row>
    <row r="60" spans="1:7" s="12" customFormat="1" ht="15">
      <c r="A60" s="7" t="s">
        <v>92</v>
      </c>
      <c r="B60" s="34"/>
      <c r="C60" s="35" t="s">
        <v>12</v>
      </c>
      <c r="D60" s="24"/>
      <c r="E60" s="161"/>
      <c r="F60" s="24"/>
      <c r="G60" s="42" t="s">
        <v>11</v>
      </c>
    </row>
    <row r="61" spans="1:7" ht="15">
      <c r="A61" s="174"/>
      <c r="B61" s="36" t="s">
        <v>4</v>
      </c>
      <c r="C61" s="37">
        <v>5</v>
      </c>
      <c r="D61" s="30" t="s">
        <v>95</v>
      </c>
      <c r="E61" s="162"/>
      <c r="F61" s="14" t="s">
        <v>6</v>
      </c>
      <c r="G61" s="15">
        <f>C61*E61</f>
        <v>0</v>
      </c>
    </row>
    <row r="62" spans="1:7" s="12" customFormat="1" ht="15">
      <c r="A62" s="174"/>
      <c r="B62" s="36"/>
      <c r="C62" s="37"/>
      <c r="D62" s="30"/>
      <c r="E62" s="162"/>
      <c r="F62" s="14"/>
      <c r="G62" s="66"/>
    </row>
    <row r="63" spans="1:7" s="39" customFormat="1" ht="157.5">
      <c r="A63" s="184" t="s">
        <v>52</v>
      </c>
      <c r="B63" s="8"/>
      <c r="C63" s="9" t="s">
        <v>151</v>
      </c>
      <c r="D63" s="10"/>
      <c r="E63" s="190"/>
      <c r="F63" s="10"/>
      <c r="G63" s="38"/>
    </row>
    <row r="64" spans="1:7" s="210" customFormat="1" ht="15" customHeight="1">
      <c r="A64" s="30" t="s">
        <v>112</v>
      </c>
      <c r="B64" s="175"/>
      <c r="C64" s="206" t="s">
        <v>93</v>
      </c>
      <c r="D64" s="176"/>
      <c r="E64" s="207"/>
      <c r="F64" s="208"/>
      <c r="G64" s="209"/>
    </row>
    <row r="65" spans="1:7" s="86" customFormat="1" ht="15" customHeight="1">
      <c r="A65" s="30"/>
      <c r="B65" s="175" t="s">
        <v>94</v>
      </c>
      <c r="C65" s="91">
        <v>2</v>
      </c>
      <c r="D65" s="91" t="s">
        <v>95</v>
      </c>
      <c r="E65" s="218"/>
      <c r="F65" s="211" t="s">
        <v>6</v>
      </c>
      <c r="G65" s="85">
        <f>C65*E65</f>
        <v>0</v>
      </c>
    </row>
    <row r="66" spans="1:7" s="210" customFormat="1" ht="15" customHeight="1">
      <c r="A66" s="30" t="s">
        <v>113</v>
      </c>
      <c r="B66" s="175"/>
      <c r="C66" s="206" t="s">
        <v>96</v>
      </c>
      <c r="D66" s="176"/>
      <c r="E66" s="207"/>
      <c r="F66" s="208"/>
      <c r="G66" s="209"/>
    </row>
    <row r="67" spans="1:7" s="86" customFormat="1" ht="15" customHeight="1">
      <c r="A67" s="174"/>
      <c r="B67" s="175" t="s">
        <v>94</v>
      </c>
      <c r="C67" s="91">
        <v>4</v>
      </c>
      <c r="D67" s="91" t="s">
        <v>95</v>
      </c>
      <c r="E67" s="218"/>
      <c r="F67" s="211" t="s">
        <v>6</v>
      </c>
      <c r="G67" s="85">
        <f>C67*E67</f>
        <v>0</v>
      </c>
    </row>
    <row r="68" spans="1:7" s="12" customFormat="1" ht="15">
      <c r="A68" s="223"/>
      <c r="B68" s="225"/>
      <c r="C68" s="242"/>
      <c r="D68" s="226"/>
      <c r="E68" s="227"/>
      <c r="F68" s="228"/>
      <c r="G68" s="229"/>
    </row>
    <row r="69" spans="1:7" s="12" customFormat="1" ht="114.75">
      <c r="A69" s="184" t="s">
        <v>114</v>
      </c>
      <c r="B69" s="16"/>
      <c r="C69" s="159" t="s">
        <v>86</v>
      </c>
      <c r="D69" s="4"/>
      <c r="E69" s="163"/>
      <c r="F69" s="4"/>
      <c r="G69" s="67"/>
    </row>
    <row r="70" spans="1:7" ht="15">
      <c r="A70" s="184"/>
      <c r="B70" s="13" t="s">
        <v>4</v>
      </c>
      <c r="C70" s="81">
        <v>1</v>
      </c>
      <c r="D70" s="7" t="s">
        <v>95</v>
      </c>
      <c r="E70" s="162"/>
      <c r="F70" s="14" t="s">
        <v>6</v>
      </c>
      <c r="G70" s="66">
        <f>C70*E70</f>
        <v>0</v>
      </c>
    </row>
    <row r="71" spans="1:7" ht="15">
      <c r="A71" s="184"/>
      <c r="B71" s="13"/>
      <c r="C71" s="81"/>
      <c r="D71" s="7"/>
      <c r="E71" s="162"/>
      <c r="F71" s="14"/>
      <c r="G71" s="66"/>
    </row>
    <row r="72" spans="1:7" ht="15">
      <c r="A72" s="184"/>
      <c r="B72" s="13"/>
      <c r="C72" s="81"/>
      <c r="D72" s="7"/>
      <c r="E72" s="162"/>
      <c r="F72" s="14"/>
      <c r="G72" s="66"/>
    </row>
    <row r="73" spans="1:7" ht="15">
      <c r="A73" s="184"/>
      <c r="B73" s="13"/>
      <c r="C73" s="81"/>
      <c r="D73" s="7"/>
      <c r="E73" s="162"/>
      <c r="F73" s="14"/>
      <c r="G73" s="66"/>
    </row>
    <row r="74" spans="1:7" ht="15">
      <c r="A74" s="184"/>
      <c r="B74" s="13"/>
      <c r="C74" s="81"/>
      <c r="D74" s="7"/>
      <c r="E74" s="162"/>
      <c r="F74" s="14"/>
      <c r="G74" s="66"/>
    </row>
    <row r="75" spans="1:7">
      <c r="A75" s="292"/>
      <c r="B75" s="231"/>
      <c r="C75" s="291"/>
      <c r="D75" s="232"/>
      <c r="E75" s="232"/>
      <c r="F75" s="232"/>
      <c r="G75" s="231"/>
    </row>
    <row r="76" spans="1:7" ht="15">
      <c r="A76" s="186"/>
      <c r="B76" s="50"/>
      <c r="C76" s="51"/>
      <c r="D76" s="52"/>
      <c r="E76" s="192"/>
      <c r="F76" s="52"/>
      <c r="G76" s="70"/>
    </row>
    <row r="77" spans="1:7" ht="15.75">
      <c r="A77" s="93" t="s">
        <v>1</v>
      </c>
      <c r="B77" s="55"/>
      <c r="C77" s="3" t="s">
        <v>103</v>
      </c>
      <c r="D77" s="54"/>
      <c r="E77" s="56"/>
      <c r="F77" s="54" t="s">
        <v>87</v>
      </c>
      <c r="G77" s="71">
        <f>SUM(G19:G75)</f>
        <v>0</v>
      </c>
    </row>
    <row r="78" spans="1:7" ht="15">
      <c r="A78" s="187"/>
      <c r="B78" s="58"/>
      <c r="C78" s="59"/>
      <c r="D78" s="60"/>
      <c r="E78" s="193"/>
      <c r="F78" s="60"/>
      <c r="G78" s="72"/>
    </row>
    <row r="79" spans="1:7" ht="15">
      <c r="A79" s="223"/>
      <c r="B79" s="234"/>
      <c r="C79" s="235"/>
      <c r="D79" s="220"/>
      <c r="E79" s="221"/>
      <c r="F79" s="220"/>
      <c r="G79" s="222"/>
    </row>
    <row r="80" spans="1:7" ht="15.75">
      <c r="A80" s="93" t="s">
        <v>18</v>
      </c>
      <c r="B80" s="55"/>
      <c r="C80" s="3" t="s">
        <v>104</v>
      </c>
      <c r="D80" s="54"/>
      <c r="E80" s="56"/>
      <c r="F80" s="54"/>
      <c r="G80" s="57"/>
    </row>
    <row r="81" spans="1:7" ht="15">
      <c r="A81" s="184"/>
      <c r="B81" s="16"/>
      <c r="C81" s="5"/>
      <c r="D81" s="4"/>
      <c r="E81" s="180"/>
      <c r="F81" s="4"/>
      <c r="G81" s="6"/>
    </row>
    <row r="82" spans="1:7" s="12" customFormat="1" ht="86.25">
      <c r="A82" s="174" t="s">
        <v>3</v>
      </c>
      <c r="B82" s="8"/>
      <c r="C82" s="74" t="s">
        <v>109</v>
      </c>
      <c r="D82" s="10"/>
      <c r="E82" s="194"/>
      <c r="F82" s="10"/>
      <c r="G82" s="75"/>
    </row>
    <row r="83" spans="1:7" ht="15">
      <c r="A83" s="184"/>
      <c r="B83" s="13" t="s">
        <v>8</v>
      </c>
      <c r="C83" s="27">
        <v>275</v>
      </c>
      <c r="D83" s="7" t="s">
        <v>95</v>
      </c>
      <c r="E83" s="162"/>
      <c r="F83" s="14" t="s">
        <v>6</v>
      </c>
      <c r="G83" s="66">
        <f>C83*E83</f>
        <v>0</v>
      </c>
    </row>
    <row r="84" spans="1:7" ht="15">
      <c r="A84" s="223"/>
      <c r="B84" s="234"/>
      <c r="C84" s="243"/>
      <c r="D84" s="220"/>
      <c r="E84" s="236"/>
      <c r="F84" s="220"/>
      <c r="G84" s="261"/>
    </row>
    <row r="85" spans="1:7" s="12" customFormat="1" ht="100.5">
      <c r="A85" s="174" t="s">
        <v>7</v>
      </c>
      <c r="B85" s="8"/>
      <c r="C85" s="74" t="s">
        <v>81</v>
      </c>
      <c r="D85" s="10"/>
      <c r="E85" s="194"/>
      <c r="F85" s="10"/>
      <c r="G85" s="75"/>
    </row>
    <row r="86" spans="1:7" ht="15">
      <c r="A86" s="185"/>
      <c r="B86" s="166" t="s">
        <v>13</v>
      </c>
      <c r="C86" s="167">
        <v>1160</v>
      </c>
      <c r="D86" s="7" t="s">
        <v>95</v>
      </c>
      <c r="E86" s="162"/>
      <c r="F86" s="14" t="s">
        <v>6</v>
      </c>
      <c r="G86" s="66">
        <f>C86*E86</f>
        <v>0</v>
      </c>
    </row>
    <row r="87" spans="1:7" ht="15">
      <c r="A87" s="223"/>
      <c r="B87" s="234"/>
      <c r="C87" s="265"/>
      <c r="D87" s="220"/>
      <c r="E87" s="236"/>
      <c r="F87" s="220"/>
      <c r="G87" s="304"/>
    </row>
    <row r="88" spans="1:7" s="12" customFormat="1" ht="226.5" customHeight="1">
      <c r="A88" s="184" t="s">
        <v>41</v>
      </c>
      <c r="B88" s="16"/>
      <c r="C88" s="73" t="s">
        <v>55</v>
      </c>
      <c r="D88" s="4"/>
      <c r="E88" s="180"/>
      <c r="F88" s="4"/>
      <c r="G88" s="6"/>
    </row>
    <row r="89" spans="1:7" s="12" customFormat="1" ht="57">
      <c r="A89" s="184"/>
      <c r="B89" s="16"/>
      <c r="C89" s="73" t="s">
        <v>176</v>
      </c>
      <c r="D89" s="4"/>
      <c r="E89" s="180"/>
      <c r="F89" s="4"/>
      <c r="G89" s="6"/>
    </row>
    <row r="90" spans="1:7" ht="100.5">
      <c r="A90" s="184" t="s">
        <v>60</v>
      </c>
      <c r="B90" s="16"/>
      <c r="C90" s="73" t="s">
        <v>152</v>
      </c>
      <c r="D90" s="4"/>
      <c r="E90" s="180"/>
      <c r="F90" s="4"/>
      <c r="G90" s="6"/>
    </row>
    <row r="91" spans="1:7" ht="15">
      <c r="A91" s="184" t="s">
        <v>174</v>
      </c>
      <c r="B91" s="16"/>
      <c r="C91" s="79" t="s">
        <v>115</v>
      </c>
      <c r="D91" s="4"/>
      <c r="E91" s="180"/>
      <c r="F91" s="4"/>
      <c r="G91" s="6"/>
    </row>
    <row r="92" spans="1:7" ht="15">
      <c r="A92" s="188"/>
      <c r="B92" s="160"/>
      <c r="C92" s="92">
        <v>2</v>
      </c>
      <c r="D92" s="164"/>
      <c r="E92" s="165"/>
      <c r="F92" s="164"/>
      <c r="G92" s="169"/>
    </row>
    <row r="93" spans="1:7" ht="15">
      <c r="A93" s="188"/>
      <c r="B93" s="160"/>
      <c r="C93" s="179" t="str">
        <f>"UKUPNO: "&amp;C94&amp;" kom."</f>
        <v>UKUPNO: 2 kom.</v>
      </c>
      <c r="D93" s="164"/>
      <c r="E93" s="165"/>
      <c r="F93" s="164"/>
      <c r="G93" s="169"/>
    </row>
    <row r="94" spans="1:7" s="41" customFormat="1" ht="15">
      <c r="A94" s="174"/>
      <c r="B94" s="13" t="s">
        <v>4</v>
      </c>
      <c r="C94" s="40">
        <f>SUM(C92:C92)</f>
        <v>2</v>
      </c>
      <c r="D94" s="30" t="s">
        <v>95</v>
      </c>
      <c r="E94" s="162"/>
      <c r="F94" s="14" t="s">
        <v>6</v>
      </c>
      <c r="G94" s="66">
        <f>C94*E94</f>
        <v>0</v>
      </c>
    </row>
    <row r="95" spans="1:7" ht="30">
      <c r="A95" s="184" t="s">
        <v>175</v>
      </c>
      <c r="B95" s="16"/>
      <c r="C95" s="79" t="s">
        <v>116</v>
      </c>
      <c r="D95" s="4"/>
      <c r="E95" s="180"/>
      <c r="F95" s="4"/>
      <c r="G95" s="6"/>
    </row>
    <row r="96" spans="1:7" ht="15">
      <c r="A96" s="188"/>
      <c r="B96" s="160"/>
      <c r="C96" s="149">
        <v>40</v>
      </c>
      <c r="D96" s="164"/>
      <c r="E96" s="165"/>
      <c r="F96" s="164"/>
      <c r="G96" s="169"/>
    </row>
    <row r="97" spans="1:7" ht="15">
      <c r="A97" s="188"/>
      <c r="B97" s="160"/>
      <c r="C97" s="179" t="str">
        <f>"UKUPNO: "&amp;C98&amp;" m'"</f>
        <v>UKUPNO: 40 m'</v>
      </c>
      <c r="D97" s="164"/>
      <c r="E97" s="165"/>
      <c r="F97" s="164"/>
      <c r="G97" s="169"/>
    </row>
    <row r="98" spans="1:7" s="41" customFormat="1" ht="15">
      <c r="A98" s="174"/>
      <c r="B98" s="13" t="s">
        <v>21</v>
      </c>
      <c r="C98" s="27">
        <f>SUM(C96:C96)</f>
        <v>40</v>
      </c>
      <c r="D98" s="30" t="s">
        <v>95</v>
      </c>
      <c r="E98" s="162"/>
      <c r="F98" s="14" t="s">
        <v>6</v>
      </c>
      <c r="G98" s="66">
        <f>C98*E98</f>
        <v>0</v>
      </c>
    </row>
    <row r="99" spans="1:7" s="41" customFormat="1" ht="15">
      <c r="A99" s="230"/>
      <c r="B99" s="225"/>
      <c r="C99" s="286"/>
      <c r="D99" s="266"/>
      <c r="E99" s="227"/>
      <c r="F99" s="228"/>
      <c r="G99" s="229"/>
    </row>
    <row r="100" spans="1:7" ht="100.5">
      <c r="A100" s="184" t="s">
        <v>177</v>
      </c>
      <c r="B100" s="234"/>
      <c r="C100" s="73" t="s">
        <v>240</v>
      </c>
      <c r="D100" s="220"/>
      <c r="E100" s="236"/>
      <c r="F100" s="220"/>
      <c r="G100" s="261"/>
    </row>
    <row r="101" spans="1:7" ht="15">
      <c r="A101" s="7" t="s">
        <v>178</v>
      </c>
      <c r="B101" s="16"/>
      <c r="C101" s="79" t="s">
        <v>241</v>
      </c>
      <c r="D101" s="4"/>
      <c r="E101" s="180"/>
      <c r="F101" s="347"/>
      <c r="G101" s="6"/>
    </row>
    <row r="102" spans="1:7" ht="15">
      <c r="A102" s="348"/>
      <c r="B102" s="160"/>
      <c r="C102" s="92">
        <v>5</v>
      </c>
      <c r="D102" s="164"/>
      <c r="E102" s="165"/>
      <c r="F102" s="349"/>
      <c r="G102" s="169"/>
    </row>
    <row r="103" spans="1:7" ht="15">
      <c r="A103" s="348"/>
      <c r="B103" s="160"/>
      <c r="C103" s="179" t="str">
        <f>"UKUPNO: "&amp;C104&amp;" kom."</f>
        <v>UKUPNO: 5 kom.</v>
      </c>
      <c r="D103" s="164"/>
      <c r="E103" s="165"/>
      <c r="F103" s="349"/>
      <c r="G103" s="169"/>
    </row>
    <row r="104" spans="1:7" ht="15">
      <c r="A104" s="30"/>
      <c r="B104" s="13" t="s">
        <v>4</v>
      </c>
      <c r="C104" s="40">
        <f>SUM(C102:C102)</f>
        <v>5</v>
      </c>
      <c r="D104" s="30" t="s">
        <v>95</v>
      </c>
      <c r="E104" s="162"/>
      <c r="F104" s="14" t="s">
        <v>6</v>
      </c>
      <c r="G104" s="66">
        <f>C104*E104</f>
        <v>0</v>
      </c>
    </row>
    <row r="105" spans="1:7" ht="15">
      <c r="A105" s="7" t="s">
        <v>243</v>
      </c>
      <c r="B105" s="16"/>
      <c r="C105" s="79" t="s">
        <v>242</v>
      </c>
      <c r="D105" s="4"/>
      <c r="E105" s="180"/>
      <c r="F105" s="347"/>
      <c r="G105" s="6"/>
    </row>
    <row r="106" spans="1:7" ht="15">
      <c r="A106" s="348"/>
      <c r="B106" s="160"/>
      <c r="C106" s="149">
        <v>20</v>
      </c>
      <c r="D106" s="164"/>
      <c r="E106" s="165"/>
      <c r="F106" s="349"/>
      <c r="G106" s="169"/>
    </row>
    <row r="107" spans="1:7" ht="15">
      <c r="A107" s="348"/>
      <c r="B107" s="160"/>
      <c r="C107" s="179" t="str">
        <f>"UKUPNO: "&amp;C108&amp;" m'"</f>
        <v>UKUPNO: 20 m'</v>
      </c>
      <c r="D107" s="164"/>
      <c r="E107" s="165"/>
      <c r="F107" s="349"/>
      <c r="G107" s="169"/>
    </row>
    <row r="108" spans="1:7" ht="15">
      <c r="A108" s="30"/>
      <c r="B108" s="13" t="s">
        <v>21</v>
      </c>
      <c r="C108" s="27">
        <f>SUM(C106:C106)</f>
        <v>20</v>
      </c>
      <c r="D108" s="30" t="s">
        <v>95</v>
      </c>
      <c r="E108" s="162"/>
      <c r="F108" s="14" t="s">
        <v>6</v>
      </c>
      <c r="G108" s="66">
        <f>C108*E108</f>
        <v>0</v>
      </c>
    </row>
    <row r="109" spans="1:7" s="12" customFormat="1" ht="15">
      <c r="A109" s="223"/>
      <c r="B109" s="234"/>
      <c r="C109" s="263"/>
      <c r="D109" s="220"/>
      <c r="E109" s="303"/>
      <c r="F109" s="220"/>
      <c r="G109" s="261"/>
    </row>
    <row r="110" spans="1:7" s="12" customFormat="1" ht="232.5" customHeight="1">
      <c r="A110" s="174" t="s">
        <v>42</v>
      </c>
      <c r="B110" s="8"/>
      <c r="C110" s="74" t="s">
        <v>117</v>
      </c>
      <c r="D110" s="10"/>
      <c r="E110" s="96"/>
      <c r="F110" s="10"/>
      <c r="G110" s="75"/>
    </row>
    <row r="111" spans="1:7" ht="15">
      <c r="A111" s="1"/>
      <c r="B111" s="13" t="s">
        <v>21</v>
      </c>
      <c r="C111" s="167">
        <v>15</v>
      </c>
      <c r="D111" s="7" t="s">
        <v>95</v>
      </c>
      <c r="E111" s="95"/>
      <c r="F111" s="14" t="s">
        <v>6</v>
      </c>
      <c r="G111" s="15">
        <f>+E111*C111</f>
        <v>0</v>
      </c>
    </row>
    <row r="112" spans="1:7" ht="15">
      <c r="A112" s="1"/>
      <c r="B112" s="13"/>
      <c r="C112" s="167"/>
      <c r="D112" s="7"/>
      <c r="E112" s="95"/>
      <c r="F112" s="14"/>
      <c r="G112" s="15"/>
    </row>
    <row r="113" spans="1:7" ht="15">
      <c r="A113" s="1"/>
      <c r="B113" s="13"/>
      <c r="C113" s="167"/>
      <c r="D113" s="7"/>
      <c r="E113" s="95"/>
      <c r="F113" s="14"/>
      <c r="G113" s="15"/>
    </row>
    <row r="114" spans="1:7" ht="15">
      <c r="A114" s="1"/>
      <c r="B114" s="13"/>
      <c r="C114" s="167"/>
      <c r="D114" s="7"/>
      <c r="E114" s="95"/>
      <c r="F114" s="14"/>
      <c r="G114" s="15"/>
    </row>
    <row r="115" spans="1:7" s="12" customFormat="1" ht="15">
      <c r="A115" s="223"/>
      <c r="B115" s="234"/>
      <c r="C115" s="263"/>
      <c r="D115" s="220"/>
      <c r="E115" s="303"/>
      <c r="F115" s="220"/>
      <c r="G115" s="261"/>
    </row>
    <row r="116" spans="1:7" ht="15">
      <c r="A116" s="186"/>
      <c r="B116" s="50"/>
      <c r="C116" s="51"/>
      <c r="D116" s="52"/>
      <c r="E116" s="192"/>
      <c r="F116" s="52"/>
      <c r="G116" s="53"/>
    </row>
    <row r="117" spans="1:7" ht="15.75">
      <c r="A117" s="93" t="s">
        <v>18</v>
      </c>
      <c r="B117" s="55"/>
      <c r="C117" s="3" t="s">
        <v>105</v>
      </c>
      <c r="D117" s="54"/>
      <c r="E117" s="56"/>
      <c r="F117" s="55" t="s">
        <v>87</v>
      </c>
      <c r="G117" s="57">
        <f>SUM(G80:G116)</f>
        <v>0</v>
      </c>
    </row>
    <row r="118" spans="1:7" ht="15">
      <c r="A118" s="187"/>
      <c r="B118" s="58"/>
      <c r="C118" s="59"/>
      <c r="D118" s="60"/>
      <c r="E118" s="193"/>
      <c r="F118" s="60"/>
      <c r="G118" s="61"/>
    </row>
    <row r="119" spans="1:7" ht="15">
      <c r="A119" s="223"/>
      <c r="B119" s="234"/>
      <c r="C119" s="235"/>
      <c r="D119" s="220"/>
      <c r="E119" s="221"/>
      <c r="F119" s="220"/>
      <c r="G119" s="222"/>
    </row>
    <row r="120" spans="1:7" ht="15.75">
      <c r="A120" s="93" t="s">
        <v>27</v>
      </c>
      <c r="B120" s="55"/>
      <c r="C120" s="3" t="s">
        <v>149</v>
      </c>
      <c r="D120" s="54"/>
      <c r="E120" s="56"/>
      <c r="F120" s="54"/>
      <c r="G120" s="57"/>
    </row>
    <row r="121" spans="1:7" ht="15">
      <c r="A121" s="184"/>
      <c r="B121" s="16"/>
      <c r="C121" s="5"/>
      <c r="D121" s="4"/>
      <c r="E121" s="180"/>
      <c r="F121" s="4"/>
      <c r="G121" s="6"/>
    </row>
    <row r="122" spans="1:7" s="12" customFormat="1" ht="114.75">
      <c r="A122" s="184" t="s">
        <v>3</v>
      </c>
      <c r="B122" s="16"/>
      <c r="C122" s="29" t="s">
        <v>98</v>
      </c>
      <c r="D122" s="4"/>
      <c r="E122" s="180"/>
      <c r="F122" s="4"/>
      <c r="G122" s="6"/>
    </row>
    <row r="123" spans="1:7" ht="15">
      <c r="A123" s="185"/>
      <c r="B123" s="23" t="s">
        <v>39</v>
      </c>
      <c r="C123" s="149">
        <f>E7</f>
        <v>254</v>
      </c>
      <c r="D123" s="24"/>
      <c r="E123" s="161"/>
      <c r="F123" s="24"/>
      <c r="G123" s="25"/>
    </row>
    <row r="124" spans="1:7" ht="15">
      <c r="A124" s="185"/>
      <c r="B124" s="23" t="s">
        <v>84</v>
      </c>
      <c r="C124" s="149">
        <f>E11</f>
        <v>184</v>
      </c>
      <c r="D124" s="24"/>
      <c r="E124" s="161"/>
      <c r="F124" s="24"/>
      <c r="G124" s="25"/>
    </row>
    <row r="125" spans="1:7" ht="15">
      <c r="A125" s="185"/>
      <c r="B125" s="23" t="s">
        <v>172</v>
      </c>
      <c r="C125" s="149">
        <f>E15</f>
        <v>186</v>
      </c>
      <c r="D125" s="24"/>
      <c r="E125" s="161"/>
      <c r="F125" s="24"/>
      <c r="G125" s="25"/>
    </row>
    <row r="126" spans="1:7" ht="15">
      <c r="A126" s="185"/>
      <c r="B126" s="23"/>
      <c r="C126" s="26" t="str">
        <f>"UKUPNO: "&amp;C127&amp;" m'"</f>
        <v>UKUPNO: 624 m'</v>
      </c>
      <c r="D126" s="24"/>
      <c r="E126" s="161"/>
      <c r="F126" s="24"/>
      <c r="G126" s="25"/>
    </row>
    <row r="127" spans="1:7" ht="15">
      <c r="A127" s="184"/>
      <c r="B127" s="13" t="s">
        <v>8</v>
      </c>
      <c r="C127" s="27">
        <f>SUM(C123:C125)</f>
        <v>624</v>
      </c>
      <c r="D127" s="7" t="s">
        <v>95</v>
      </c>
      <c r="E127" s="162"/>
      <c r="F127" s="14" t="s">
        <v>6</v>
      </c>
      <c r="G127" s="15">
        <f>C127*E127</f>
        <v>0</v>
      </c>
    </row>
    <row r="128" spans="1:7" ht="15">
      <c r="A128" s="223"/>
      <c r="B128" s="220"/>
      <c r="C128" s="243"/>
      <c r="D128" s="220"/>
      <c r="E128" s="236"/>
      <c r="F128" s="220"/>
      <c r="G128" s="261"/>
    </row>
    <row r="129" spans="1:7" s="12" customFormat="1" ht="186">
      <c r="A129" s="184" t="s">
        <v>7</v>
      </c>
      <c r="B129" s="8"/>
      <c r="C129" s="9" t="s">
        <v>99</v>
      </c>
      <c r="D129" s="10"/>
      <c r="E129" s="202"/>
      <c r="F129" s="10"/>
      <c r="G129" s="77"/>
    </row>
    <row r="130" spans="1:7" s="12" customFormat="1" ht="71.25">
      <c r="A130" s="184"/>
      <c r="B130" s="8"/>
      <c r="C130" s="9" t="s">
        <v>100</v>
      </c>
      <c r="D130" s="10"/>
      <c r="E130" s="202"/>
      <c r="F130" s="10"/>
      <c r="G130" s="77"/>
    </row>
    <row r="131" spans="1:7" s="12" customFormat="1" ht="15">
      <c r="A131" s="184"/>
      <c r="B131" s="13" t="s">
        <v>4</v>
      </c>
      <c r="C131" s="7">
        <v>1</v>
      </c>
      <c r="D131" s="7" t="s">
        <v>95</v>
      </c>
      <c r="E131" s="162"/>
      <c r="F131" s="14" t="s">
        <v>6</v>
      </c>
      <c r="G131" s="15">
        <f>C131*E131</f>
        <v>0</v>
      </c>
    </row>
    <row r="132" spans="1:7" s="12" customFormat="1" ht="15">
      <c r="A132" s="184"/>
      <c r="B132" s="13"/>
      <c r="C132" s="7"/>
      <c r="D132" s="7"/>
      <c r="E132" s="162"/>
      <c r="F132" s="14"/>
      <c r="G132" s="15"/>
    </row>
    <row r="133" spans="1:7" s="12" customFormat="1" ht="15">
      <c r="A133" s="184"/>
      <c r="B133" s="13"/>
      <c r="C133" s="7"/>
      <c r="D133" s="7"/>
      <c r="E133" s="162"/>
      <c r="F133" s="14"/>
      <c r="G133" s="15"/>
    </row>
    <row r="134" spans="1:7" s="12" customFormat="1" ht="15">
      <c r="A134" s="184"/>
      <c r="B134" s="13"/>
      <c r="C134" s="7"/>
      <c r="D134" s="7"/>
      <c r="E134" s="162"/>
      <c r="F134" s="14"/>
      <c r="G134" s="15"/>
    </row>
    <row r="135" spans="1:7" ht="15">
      <c r="A135" s="223"/>
      <c r="B135" s="234"/>
      <c r="C135" s="243"/>
      <c r="D135" s="220"/>
      <c r="E135" s="236"/>
      <c r="F135" s="220"/>
      <c r="G135" s="261"/>
    </row>
    <row r="136" spans="1:7" ht="15">
      <c r="A136" s="186"/>
      <c r="B136" s="50"/>
      <c r="C136" s="51"/>
      <c r="D136" s="52"/>
      <c r="E136" s="192"/>
      <c r="F136" s="52"/>
      <c r="G136" s="53"/>
    </row>
    <row r="137" spans="1:7" ht="15.75">
      <c r="A137" s="93" t="s">
        <v>27</v>
      </c>
      <c r="B137" s="55"/>
      <c r="C137" s="3" t="s">
        <v>150</v>
      </c>
      <c r="D137" s="54"/>
      <c r="E137" s="56"/>
      <c r="F137" s="55" t="s">
        <v>87</v>
      </c>
      <c r="G137" s="57">
        <f>SUM(G120:G136)</f>
        <v>0</v>
      </c>
    </row>
    <row r="138" spans="1:7" ht="15">
      <c r="A138" s="187"/>
      <c r="B138" s="58"/>
      <c r="C138" s="59"/>
      <c r="D138" s="60"/>
      <c r="E138" s="193"/>
      <c r="F138" s="60"/>
      <c r="G138" s="61"/>
    </row>
    <row r="139" spans="1:7" ht="15">
      <c r="A139" s="184"/>
      <c r="B139" s="16"/>
      <c r="C139" s="17"/>
      <c r="D139" s="4"/>
      <c r="E139" s="163"/>
      <c r="F139" s="4"/>
      <c r="G139" s="18"/>
    </row>
    <row r="140" spans="1:7" ht="15">
      <c r="A140" s="184"/>
      <c r="B140" s="16"/>
      <c r="C140" s="17"/>
      <c r="D140" s="4"/>
      <c r="E140" s="163"/>
      <c r="F140" s="4"/>
      <c r="G140" s="18"/>
    </row>
    <row r="142" spans="1:7" ht="18">
      <c r="A142" s="436" t="s">
        <v>73</v>
      </c>
      <c r="B142" s="436"/>
      <c r="C142" s="436"/>
      <c r="D142" s="436"/>
      <c r="E142" s="436"/>
      <c r="F142" s="436"/>
      <c r="G142" s="436"/>
    </row>
    <row r="143" spans="1:7" ht="18">
      <c r="A143" s="422"/>
      <c r="B143" s="422"/>
      <c r="C143" s="422"/>
      <c r="D143" s="422"/>
      <c r="E143" s="422"/>
      <c r="F143" s="422"/>
      <c r="G143" s="422"/>
    </row>
    <row r="144" spans="1:7" ht="15.75">
      <c r="A144" s="54"/>
      <c r="B144" s="54"/>
      <c r="C144" s="54"/>
      <c r="D144" s="54"/>
      <c r="E144" s="54"/>
      <c r="F144" s="54"/>
      <c r="G144" s="54"/>
    </row>
    <row r="145" spans="1:7" ht="15.75">
      <c r="A145" s="93"/>
      <c r="B145" s="54"/>
      <c r="C145" s="54"/>
      <c r="D145" s="54"/>
      <c r="E145" s="56"/>
      <c r="F145" s="54"/>
      <c r="G145" s="57"/>
    </row>
    <row r="146" spans="1:7" ht="15.75">
      <c r="A146" s="93"/>
      <c r="B146" s="54"/>
      <c r="C146" s="3"/>
      <c r="D146" s="54"/>
      <c r="E146" s="56"/>
      <c r="F146" s="54"/>
      <c r="G146" s="57"/>
    </row>
    <row r="147" spans="1:7" ht="15.75">
      <c r="A147" s="93"/>
      <c r="B147" s="54" t="s">
        <v>0</v>
      </c>
      <c r="C147" s="93" t="str">
        <f>C2</f>
        <v>ZAJEDNIČKI RADOVI</v>
      </c>
      <c r="D147" s="54"/>
      <c r="E147" s="56"/>
      <c r="F147" s="54"/>
      <c r="G147" s="57"/>
    </row>
    <row r="148" spans="1:7" ht="15.75">
      <c r="A148" s="93"/>
      <c r="B148" s="54"/>
      <c r="C148" s="3"/>
      <c r="D148" s="54"/>
      <c r="E148" s="56"/>
      <c r="F148" s="54"/>
      <c r="G148" s="57"/>
    </row>
    <row r="149" spans="1:7" ht="15.75">
      <c r="A149" s="93"/>
      <c r="B149" s="54"/>
      <c r="C149" s="103" t="str">
        <f>A19&amp;" "&amp;C19</f>
        <v>A) ZAJEDNIČKI PRIPREMNI RADOVI</v>
      </c>
      <c r="D149" s="2"/>
      <c r="E149" s="104"/>
      <c r="F149" s="62" t="s">
        <v>87</v>
      </c>
      <c r="G149" s="105">
        <f>G77</f>
        <v>0</v>
      </c>
    </row>
    <row r="150" spans="1:7" ht="15.75">
      <c r="A150" s="93"/>
      <c r="B150" s="54"/>
      <c r="C150" s="103"/>
      <c r="D150" s="2"/>
      <c r="E150" s="104"/>
      <c r="F150" s="62"/>
      <c r="G150" s="105"/>
    </row>
    <row r="151" spans="1:7" ht="15.75">
      <c r="A151" s="93"/>
      <c r="B151" s="54"/>
      <c r="C151" s="103" t="str">
        <f>A80&amp;" "&amp;C80</f>
        <v>B) ZAJEDNIČKI ZEMLJANI RADOVI</v>
      </c>
      <c r="D151" s="2"/>
      <c r="E151" s="104"/>
      <c r="F151" s="62" t="s">
        <v>87</v>
      </c>
      <c r="G151" s="105">
        <f>G117</f>
        <v>0</v>
      </c>
    </row>
    <row r="152" spans="1:7" ht="15.75">
      <c r="A152" s="93"/>
      <c r="B152" s="54"/>
      <c r="C152" s="103"/>
      <c r="D152" s="2"/>
      <c r="E152" s="104"/>
      <c r="F152" s="62"/>
      <c r="G152" s="105"/>
    </row>
    <row r="153" spans="1:7" ht="15.75">
      <c r="A153" s="93"/>
      <c r="B153" s="54"/>
      <c r="C153" s="103" t="str">
        <f>A137&amp;" "&amp;C137</f>
        <v>C) ZAJEDNIČKI OSTALI RADOVI UKUPNO:</v>
      </c>
      <c r="D153" s="2"/>
      <c r="E153" s="104"/>
      <c r="F153" s="62" t="s">
        <v>87</v>
      </c>
      <c r="G153" s="105">
        <f>G137</f>
        <v>0</v>
      </c>
    </row>
    <row r="154" spans="1:7" ht="15.75">
      <c r="A154" s="93"/>
      <c r="B154" s="54"/>
      <c r="C154" s="3"/>
      <c r="D154" s="54"/>
      <c r="E154" s="56"/>
      <c r="F154" s="54"/>
      <c r="G154" s="57"/>
    </row>
    <row r="155" spans="1:7" ht="16.5" thickBot="1">
      <c r="A155" s="212"/>
      <c r="B155" s="107"/>
      <c r="C155" s="108"/>
      <c r="D155" s="107"/>
      <c r="E155" s="109"/>
      <c r="F155" s="107"/>
      <c r="G155" s="110"/>
    </row>
    <row r="156" spans="1:7" ht="16.5" thickTop="1">
      <c r="A156" s="93"/>
      <c r="B156" s="54"/>
      <c r="C156" s="3"/>
      <c r="D156" s="54"/>
      <c r="E156" s="56"/>
      <c r="F156" s="54"/>
      <c r="G156" s="57"/>
    </row>
    <row r="157" spans="1:7" ht="15.75">
      <c r="A157" s="93"/>
      <c r="B157" s="54" t="s">
        <v>0</v>
      </c>
      <c r="C157" s="111" t="str">
        <f>"UKUPNO "&amp;C2&amp;":"</f>
        <v>UKUPNO ZAJEDNIČKI RADOVI:</v>
      </c>
      <c r="D157" s="54"/>
      <c r="E157" s="56"/>
      <c r="F157" s="213" t="s">
        <v>87</v>
      </c>
      <c r="G157" s="214">
        <f>SUM(G147:G155)</f>
        <v>0</v>
      </c>
    </row>
    <row r="158" spans="1:7" ht="16.5" thickBot="1">
      <c r="A158" s="212"/>
      <c r="B158" s="107"/>
      <c r="C158" s="108"/>
      <c r="D158" s="107"/>
      <c r="E158" s="109"/>
      <c r="F158" s="107"/>
      <c r="G158" s="110"/>
    </row>
    <row r="159" spans="1:7" ht="15" thickTop="1"/>
  </sheetData>
  <mergeCells count="2">
    <mergeCell ref="C17:E17"/>
    <mergeCell ref="A142:G142"/>
  </mergeCells>
  <pageMargins left="0.70866141732283472" right="0.70866141732283472" top="0.74803149606299213" bottom="0.74803149606299213" header="0.31496062992125984" footer="0.31496062992125984"/>
  <pageSetup paperSize="9" scale="83" firstPageNumber="2" fitToHeight="0" orientation="portrait" r:id="rId1"/>
  <headerFooter>
    <oddHeader>&amp;L&amp;8FLUM-ING d.o.o.</oddHeader>
    <oddFooter>&amp;L&amp;8Vodovodni ogranak i kanalizacijska
mreža u Banjolu, Vatrogasni dom-Brni&amp;R&amp;8&amp;P</oddFooter>
  </headerFooter>
  <rowBreaks count="7" manualBreakCount="7">
    <brk id="30" max="16383" man="1"/>
    <brk id="45" min="4" max="6" man="1"/>
    <brk id="68" min="4" max="6" man="1"/>
    <brk id="78" max="16383" man="1"/>
    <brk id="99" min="4" max="6" man="1"/>
    <brk id="118" max="16383" man="1"/>
    <brk id="13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73"/>
  <sheetViews>
    <sheetView showGridLines="0" showZeros="0" view="pageBreakPreview" topLeftCell="A437" zoomScale="90" zoomScaleNormal="100" zoomScaleSheetLayoutView="90" workbookViewId="0">
      <selection activeCell="J64" sqref="J64"/>
    </sheetView>
  </sheetViews>
  <sheetFormatPr defaultColWidth="9" defaultRowHeight="14.25"/>
  <cols>
    <col min="1" max="1" width="5.625" style="10" customWidth="1"/>
    <col min="2" max="2" width="5.625" style="8" customWidth="1"/>
    <col min="3" max="3" width="59.875" style="43" customWidth="1"/>
    <col min="4" max="4" width="2" style="10" bestFit="1" customWidth="1"/>
    <col min="5" max="5" width="8.875" style="10" bestFit="1" customWidth="1"/>
    <col min="6" max="6" width="3.5" style="10" bestFit="1" customWidth="1"/>
    <col min="7" max="7" width="11.125" style="8" bestFit="1" customWidth="1"/>
    <col min="8" max="16384" width="9" style="43"/>
  </cols>
  <sheetData>
    <row r="1" spans="1:7">
      <c r="C1" s="150"/>
    </row>
    <row r="2" spans="1:7" ht="18">
      <c r="A2" s="424" t="s">
        <v>72</v>
      </c>
      <c r="B2" s="425"/>
      <c r="C2" s="423" t="s">
        <v>111</v>
      </c>
    </row>
    <row r="3" spans="1:7">
      <c r="C3" s="150"/>
    </row>
    <row r="4" spans="1:7" ht="15.75">
      <c r="A4" s="93" t="s">
        <v>1</v>
      </c>
      <c r="B4" s="62"/>
      <c r="C4" s="3" t="s">
        <v>2</v>
      </c>
      <c r="D4" s="2"/>
      <c r="E4" s="104"/>
      <c r="F4" s="2"/>
      <c r="G4" s="65"/>
    </row>
    <row r="5" spans="1:7" s="12" customFormat="1" ht="15">
      <c r="A5" s="184"/>
      <c r="B5" s="16"/>
      <c r="C5" s="17"/>
      <c r="D5" s="10"/>
      <c r="E5" s="180"/>
      <c r="F5" s="10"/>
      <c r="G5" s="20"/>
    </row>
    <row r="6" spans="1:7" ht="157.5">
      <c r="A6" s="184" t="s">
        <v>3</v>
      </c>
      <c r="B6" s="16"/>
      <c r="C6" s="21" t="s">
        <v>212</v>
      </c>
      <c r="D6" s="4"/>
      <c r="E6" s="163"/>
      <c r="F6" s="4"/>
      <c r="G6" s="66"/>
    </row>
    <row r="7" spans="1:7" ht="15">
      <c r="A7" s="185"/>
      <c r="B7" s="23" t="s">
        <v>39</v>
      </c>
      <c r="C7" s="149">
        <f>'I) ZAJEDNIČKI RADOVI'!E6</f>
        <v>254</v>
      </c>
      <c r="D7" s="24"/>
      <c r="E7" s="161"/>
      <c r="F7" s="24"/>
      <c r="G7" s="66"/>
    </row>
    <row r="8" spans="1:7" ht="15">
      <c r="A8" s="185"/>
      <c r="B8" s="23"/>
      <c r="C8" s="26" t="str">
        <f>"UKUPNO: "&amp;C9&amp;" m'"</f>
        <v>UKUPNO: 254 m'</v>
      </c>
      <c r="D8" s="24"/>
      <c r="E8" s="161"/>
      <c r="F8" s="24"/>
      <c r="G8" s="66"/>
    </row>
    <row r="9" spans="1:7" ht="15">
      <c r="A9" s="184"/>
      <c r="B9" s="13" t="s">
        <v>8</v>
      </c>
      <c r="C9" s="27">
        <f>SUM(C7:C7)</f>
        <v>254</v>
      </c>
      <c r="D9" s="7" t="s">
        <v>95</v>
      </c>
      <c r="E9" s="162"/>
      <c r="F9" s="14" t="s">
        <v>6</v>
      </c>
      <c r="G9" s="66">
        <f>C9*E9</f>
        <v>0</v>
      </c>
    </row>
    <row r="10" spans="1:7" ht="15">
      <c r="A10" s="223"/>
      <c r="B10" s="234"/>
      <c r="C10" s="243"/>
      <c r="D10" s="220"/>
      <c r="E10" s="236"/>
      <c r="F10" s="220"/>
      <c r="G10" s="229"/>
    </row>
    <row r="11" spans="1:7" ht="114.75">
      <c r="A11" s="184" t="s">
        <v>7</v>
      </c>
      <c r="C11" s="9" t="s">
        <v>239</v>
      </c>
      <c r="D11" s="344"/>
      <c r="E11" s="345"/>
      <c r="F11" s="346"/>
      <c r="G11" s="69"/>
    </row>
    <row r="12" spans="1:7" ht="15">
      <c r="A12" s="184"/>
      <c r="B12" s="23" t="s">
        <v>39</v>
      </c>
      <c r="C12" s="92">
        <v>19</v>
      </c>
      <c r="D12" s="344"/>
      <c r="E12" s="345"/>
      <c r="F12" s="346"/>
      <c r="G12" s="69"/>
    </row>
    <row r="13" spans="1:7" s="44" customFormat="1" ht="15">
      <c r="A13" s="185"/>
      <c r="B13" s="23"/>
      <c r="C13" s="318" t="str">
        <f>"UKUPNO: "&amp;C14&amp;" kom."</f>
        <v>UKUPNO: 19 kom.</v>
      </c>
      <c r="D13" s="24"/>
      <c r="E13" s="161"/>
      <c r="F13" s="24"/>
      <c r="G13" s="68"/>
    </row>
    <row r="14" spans="1:7" s="47" customFormat="1" ht="15">
      <c r="A14" s="185"/>
      <c r="B14" s="13" t="s">
        <v>4</v>
      </c>
      <c r="C14" s="81">
        <f>SUM(C12:C12)</f>
        <v>19</v>
      </c>
      <c r="D14" s="22" t="s">
        <v>95</v>
      </c>
      <c r="E14" s="162"/>
      <c r="F14" s="46" t="s">
        <v>6</v>
      </c>
      <c r="G14" s="66">
        <f>C14*E14</f>
        <v>0</v>
      </c>
    </row>
    <row r="15" spans="1:7" s="151" customFormat="1" ht="16.5">
      <c r="A15" s="230"/>
      <c r="B15" s="231"/>
      <c r="C15" s="246"/>
      <c r="D15" s="232"/>
      <c r="E15" s="247"/>
      <c r="F15" s="232"/>
      <c r="G15" s="244"/>
    </row>
    <row r="16" spans="1:7" s="75" customFormat="1" ht="285.75">
      <c r="A16" s="174" t="s">
        <v>41</v>
      </c>
      <c r="B16" s="231"/>
      <c r="C16" s="383" t="s">
        <v>264</v>
      </c>
      <c r="D16" s="248"/>
      <c r="E16" s="249"/>
      <c r="F16" s="250"/>
      <c r="G16" s="251"/>
    </row>
    <row r="17" spans="1:7" s="41" customFormat="1" ht="15">
      <c r="A17" s="174"/>
      <c r="B17" s="13" t="s">
        <v>4</v>
      </c>
      <c r="C17" s="384">
        <v>4</v>
      </c>
      <c r="D17" s="7" t="s">
        <v>95</v>
      </c>
      <c r="E17" s="162"/>
      <c r="F17" s="326" t="s">
        <v>6</v>
      </c>
      <c r="G17" s="85">
        <f>C17*E17</f>
        <v>0</v>
      </c>
    </row>
    <row r="18" spans="1:7" s="151" customFormat="1" ht="16.5">
      <c r="A18" s="174"/>
      <c r="B18" s="8"/>
      <c r="C18" s="385"/>
      <c r="D18" s="10"/>
      <c r="E18" s="190"/>
      <c r="F18" s="10"/>
      <c r="G18" s="69"/>
    </row>
    <row r="19" spans="1:7" s="41" customFormat="1" ht="15">
      <c r="A19" s="174"/>
      <c r="B19" s="13"/>
      <c r="C19" s="384"/>
      <c r="D19" s="7"/>
      <c r="E19" s="162"/>
      <c r="F19" s="326"/>
      <c r="G19" s="85"/>
    </row>
    <row r="20" spans="1:7" ht="15">
      <c r="A20" s="186"/>
      <c r="B20" s="50"/>
      <c r="C20" s="51"/>
      <c r="D20" s="52"/>
      <c r="E20" s="192"/>
      <c r="F20" s="52"/>
      <c r="G20" s="70"/>
    </row>
    <row r="21" spans="1:7" ht="15.75">
      <c r="A21" s="93" t="s">
        <v>1</v>
      </c>
      <c r="B21" s="55"/>
      <c r="C21" s="3" t="s">
        <v>14</v>
      </c>
      <c r="D21" s="54"/>
      <c r="E21" s="56"/>
      <c r="F21" s="54" t="s">
        <v>87</v>
      </c>
      <c r="G21" s="71">
        <f>SUM(G4:G20)</f>
        <v>0</v>
      </c>
    </row>
    <row r="22" spans="1:7" ht="15">
      <c r="A22" s="187"/>
      <c r="B22" s="58"/>
      <c r="C22" s="59"/>
      <c r="D22" s="60"/>
      <c r="E22" s="193"/>
      <c r="F22" s="60"/>
      <c r="G22" s="72"/>
    </row>
    <row r="23" spans="1:7" ht="15">
      <c r="A23" s="223"/>
      <c r="B23" s="234"/>
      <c r="C23" s="235"/>
      <c r="D23" s="220"/>
      <c r="E23" s="221"/>
      <c r="F23" s="220"/>
      <c r="G23" s="259"/>
    </row>
    <row r="24" spans="1:7" ht="15.75">
      <c r="A24" s="93" t="s">
        <v>18</v>
      </c>
      <c r="B24" s="55"/>
      <c r="C24" s="3" t="s">
        <v>19</v>
      </c>
      <c r="D24" s="54"/>
      <c r="E24" s="56"/>
      <c r="F24" s="54"/>
      <c r="G24" s="57"/>
    </row>
    <row r="25" spans="1:7" ht="15">
      <c r="A25" s="184"/>
      <c r="B25" s="16"/>
      <c r="C25" s="5"/>
      <c r="D25" s="4"/>
      <c r="E25" s="180"/>
      <c r="F25" s="4"/>
      <c r="G25" s="6"/>
    </row>
    <row r="26" spans="1:7" s="12" customFormat="1" ht="207" customHeight="1">
      <c r="A26" s="184" t="s">
        <v>3</v>
      </c>
      <c r="B26" s="23"/>
      <c r="C26" s="73" t="s">
        <v>256</v>
      </c>
      <c r="D26" s="24"/>
      <c r="E26" s="161"/>
      <c r="F26" s="24"/>
      <c r="G26" s="64"/>
    </row>
    <row r="27" spans="1:7" s="12" customFormat="1" ht="199.5">
      <c r="A27" s="184"/>
      <c r="B27" s="23"/>
      <c r="C27" s="73" t="s">
        <v>25</v>
      </c>
      <c r="D27" s="24"/>
      <c r="E27" s="161"/>
      <c r="F27" s="24"/>
      <c r="G27" s="64"/>
    </row>
    <row r="28" spans="1:7" ht="36" customHeight="1">
      <c r="A28" s="184"/>
      <c r="B28" s="23"/>
      <c r="C28" s="375" t="s">
        <v>257</v>
      </c>
      <c r="D28" s="24"/>
      <c r="E28" s="161"/>
      <c r="F28" s="24"/>
      <c r="G28" s="64"/>
    </row>
    <row r="29" spans="1:7" s="173" customFormat="1">
      <c r="A29" s="170"/>
      <c r="B29" s="23" t="s">
        <v>39</v>
      </c>
      <c r="C29" s="168" t="str">
        <f>"- iz iskaza masa (volumen iskopa): "&amp;ROUNDUP((169.99),1)&amp;" m³"</f>
        <v>- iz iskaza masa (volumen iskopa): 170 m³</v>
      </c>
      <c r="D29" s="171"/>
      <c r="E29" s="380"/>
      <c r="F29" s="171"/>
      <c r="G29" s="172"/>
    </row>
    <row r="30" spans="1:7" s="173" customFormat="1" ht="15">
      <c r="A30" s="170"/>
      <c r="B30" s="177"/>
      <c r="C30" s="381" t="str">
        <f>"- dodatna proširenja za hidrante: 13,69+2,0×0,8×1,5 = "&amp;ROUNDUP((13.69+2*0.8*1.5),2)&amp;" m³"</f>
        <v>- dodatna proširenja za hidrante: 13,69+2,0×0,8×1,5 = 16,09 m³</v>
      </c>
      <c r="D30" s="171"/>
      <c r="E30" s="380"/>
      <c r="F30" s="171"/>
      <c r="G30" s="172"/>
    </row>
    <row r="31" spans="1:7" s="173" customFormat="1" ht="15">
      <c r="A31" s="170"/>
      <c r="B31" s="177"/>
      <c r="C31" s="382" t="str">
        <f>"- dodatna proširenja za okna: 4,6×3,8×2,7 = "&amp;ROUNDUP((4.6*3.8*2.7),2)&amp;" m³"</f>
        <v>- dodatna proširenja za okna: 4,6×3,8×2,7 = 47,2 m³</v>
      </c>
      <c r="D31" s="171"/>
      <c r="E31" s="380"/>
      <c r="F31" s="171"/>
      <c r="G31" s="172"/>
    </row>
    <row r="32" spans="1:7" s="173" customFormat="1" ht="15">
      <c r="A32" s="170"/>
      <c r="B32" s="177"/>
      <c r="C32" s="178" t="str">
        <f>"UKUPNO: "&amp;ROUNDUP((170+16.09+47.2),2)&amp;" m³"</f>
        <v>UKUPNO: 233,29 m³</v>
      </c>
      <c r="D32" s="171"/>
      <c r="E32" s="195"/>
      <c r="F32" s="171"/>
      <c r="G32" s="172"/>
    </row>
    <row r="33" spans="1:7" s="173" customFormat="1" ht="11.25" customHeight="1">
      <c r="A33" s="170"/>
      <c r="B33" s="177"/>
      <c r="C33" s="178"/>
      <c r="D33" s="171"/>
      <c r="E33" s="195"/>
      <c r="F33" s="171"/>
      <c r="G33" s="172"/>
    </row>
    <row r="34" spans="1:7" ht="15">
      <c r="A34" s="185"/>
      <c r="B34" s="33" t="s">
        <v>20</v>
      </c>
      <c r="C34" s="167">
        <v>234</v>
      </c>
      <c r="D34" s="22" t="s">
        <v>95</v>
      </c>
      <c r="E34" s="162"/>
      <c r="F34" s="14" t="s">
        <v>6</v>
      </c>
      <c r="G34" s="15">
        <f>+E34*C34</f>
        <v>0</v>
      </c>
    </row>
    <row r="35" spans="1:7" s="12" customFormat="1" ht="10.5" customHeight="1">
      <c r="A35" s="223"/>
      <c r="B35" s="234"/>
      <c r="C35" s="265"/>
      <c r="D35" s="220"/>
      <c r="E35" s="236"/>
      <c r="F35" s="220"/>
      <c r="G35" s="261"/>
    </row>
    <row r="36" spans="1:7" ht="129">
      <c r="A36" s="184" t="s">
        <v>7</v>
      </c>
      <c r="B36" s="16"/>
      <c r="C36" s="73" t="s">
        <v>90</v>
      </c>
      <c r="D36" s="4"/>
      <c r="E36" s="163"/>
      <c r="F36" s="4"/>
      <c r="G36" s="18"/>
    </row>
    <row r="37" spans="1:7" ht="28.5">
      <c r="A37" s="30"/>
      <c r="C37" s="78" t="s">
        <v>118</v>
      </c>
      <c r="E37" s="194"/>
      <c r="G37" s="75"/>
    </row>
    <row r="38" spans="1:7" s="200" customFormat="1" ht="15">
      <c r="A38" s="188"/>
      <c r="B38" s="23" t="s">
        <v>39</v>
      </c>
      <c r="C38" s="168" t="str">
        <f>"- planiranje rova: 156,20 m²"</f>
        <v>- planiranje rova: 156,20 m²</v>
      </c>
      <c r="D38" s="197"/>
      <c r="E38" s="198"/>
      <c r="F38" s="197"/>
      <c r="G38" s="199"/>
    </row>
    <row r="39" spans="1:7" s="200" customFormat="1" ht="15">
      <c r="A39" s="188"/>
      <c r="B39" s="196"/>
      <c r="C39" s="168" t="str">
        <f>"- planiranje rova za hidrante: (13,0×0,8) = "&amp;ROUNDUP((13*0.8),1)&amp;" m²"</f>
        <v>- planiranje rova za hidrante: (13,0×0,8) = 10,4 m²</v>
      </c>
      <c r="D39" s="197"/>
      <c r="E39" s="198"/>
      <c r="F39" s="197"/>
      <c r="G39" s="199"/>
    </row>
    <row r="40" spans="1:7" s="200" customFormat="1" ht="15">
      <c r="A40" s="188"/>
      <c r="B40" s="196"/>
      <c r="C40" s="379" t="str">
        <f>"- planiranje rova za okno: (4,6×3,8) = "&amp;ROUNDUP((4.6*3.8),1)&amp;" m²"</f>
        <v>- planiranje rova za okno: (4,6×3,8) = 17,5 m²</v>
      </c>
      <c r="D40" s="197"/>
      <c r="E40" s="198"/>
      <c r="F40" s="197"/>
      <c r="G40" s="199"/>
    </row>
    <row r="41" spans="1:7" s="200" customFormat="1" ht="15">
      <c r="A41" s="188"/>
      <c r="B41" s="196"/>
      <c r="C41" s="201" t="str">
        <f>"UKUPNO: "&amp;ROUNDUP((156.2+10.4+17.5),1)&amp;" m²"</f>
        <v>UKUPNO: 184,1 m²</v>
      </c>
      <c r="D41" s="197"/>
      <c r="E41" s="198"/>
      <c r="F41" s="197"/>
      <c r="G41" s="199"/>
    </row>
    <row r="42" spans="1:7" s="200" customFormat="1" ht="9.75" customHeight="1">
      <c r="A42" s="188"/>
      <c r="B42" s="196"/>
      <c r="C42" s="201"/>
      <c r="D42" s="197"/>
      <c r="E42" s="198"/>
      <c r="F42" s="197"/>
      <c r="G42" s="199"/>
    </row>
    <row r="43" spans="1:7" ht="15">
      <c r="A43" s="45"/>
      <c r="B43" s="33" t="s">
        <v>13</v>
      </c>
      <c r="C43" s="167">
        <f>ROUNDUP(184.1,0)</f>
        <v>185</v>
      </c>
      <c r="D43" s="22" t="s">
        <v>95</v>
      </c>
      <c r="E43" s="162"/>
      <c r="F43" s="14" t="s">
        <v>6</v>
      </c>
      <c r="G43" s="15">
        <f>+E43*C43</f>
        <v>0</v>
      </c>
    </row>
    <row r="44" spans="1:7" ht="9.75" customHeight="1">
      <c r="A44" s="223"/>
      <c r="B44" s="234"/>
      <c r="C44" s="265"/>
      <c r="D44" s="220"/>
      <c r="E44" s="236"/>
      <c r="F44" s="220"/>
      <c r="G44" s="261"/>
    </row>
    <row r="45" spans="1:7" ht="115.5">
      <c r="A45" s="184" t="s">
        <v>41</v>
      </c>
      <c r="B45" s="16"/>
      <c r="C45" s="76" t="s">
        <v>260</v>
      </c>
      <c r="D45" s="4"/>
      <c r="E45" s="163"/>
      <c r="F45" s="4"/>
      <c r="G45" s="18"/>
    </row>
    <row r="46" spans="1:7" ht="15">
      <c r="A46" s="30"/>
      <c r="C46" s="78" t="s">
        <v>121</v>
      </c>
      <c r="E46" s="194"/>
      <c r="G46" s="75"/>
    </row>
    <row r="47" spans="1:7" s="200" customFormat="1" ht="15">
      <c r="A47" s="188"/>
      <c r="B47" s="23" t="s">
        <v>39</v>
      </c>
      <c r="C47" s="168" t="str">
        <f>"- iz iskaza masa: "&amp;ROUNDUP((17.11),1)&amp;" m³"</f>
        <v>- iz iskaza masa: 17,2 m³</v>
      </c>
      <c r="D47" s="197"/>
      <c r="E47" s="198"/>
      <c r="F47" s="197"/>
      <c r="G47" s="199"/>
    </row>
    <row r="48" spans="1:7" s="200" customFormat="1" ht="15">
      <c r="A48" s="188"/>
      <c r="B48" s="196"/>
      <c r="C48" s="168" t="str">
        <f>"- dodatno za hidrante: 0,97+3,0×0,80×0,10 = "&amp;ROUNDUP((0.97+3*0.8*0.1),1)&amp;" m³"</f>
        <v>- dodatno za hidrante: 0,97+3,0×0,80×0,10 = 1,3 m³</v>
      </c>
      <c r="D48" s="197"/>
      <c r="E48" s="198"/>
      <c r="F48" s="197"/>
      <c r="G48" s="199"/>
    </row>
    <row r="49" spans="1:7" s="200" customFormat="1" ht="15">
      <c r="A49" s="188"/>
      <c r="B49" s="196"/>
      <c r="C49" s="374" t="str">
        <f>"UKUPNO: "&amp;ROUNDUP((17.2+1.3),1)&amp;" m³"</f>
        <v>UKUPNO: 18,5 m³</v>
      </c>
      <c r="D49" s="197"/>
      <c r="E49" s="198"/>
      <c r="F49" s="197"/>
      <c r="G49" s="199"/>
    </row>
    <row r="50" spans="1:7" s="200" customFormat="1" ht="15">
      <c r="A50" s="188"/>
      <c r="B50" s="196"/>
      <c r="C50" s="201"/>
      <c r="D50" s="197"/>
      <c r="E50" s="198"/>
      <c r="F50" s="197"/>
      <c r="G50" s="199"/>
    </row>
    <row r="51" spans="1:7" ht="15">
      <c r="A51" s="45"/>
      <c r="B51" s="33" t="s">
        <v>20</v>
      </c>
      <c r="C51" s="167">
        <f>ROUNDUP(18.5,0)</f>
        <v>19</v>
      </c>
      <c r="D51" s="22" t="s">
        <v>95</v>
      </c>
      <c r="E51" s="162"/>
      <c r="F51" s="14" t="s">
        <v>6</v>
      </c>
      <c r="G51" s="15">
        <f>+E51*C51</f>
        <v>0</v>
      </c>
    </row>
    <row r="52" spans="1:7" ht="12" customHeight="1">
      <c r="A52" s="223"/>
      <c r="B52" s="234"/>
      <c r="C52" s="265"/>
      <c r="D52" s="220"/>
      <c r="E52" s="236"/>
      <c r="F52" s="220"/>
      <c r="G52" s="261"/>
    </row>
    <row r="53" spans="1:7" ht="115.5">
      <c r="A53" s="184" t="s">
        <v>42</v>
      </c>
      <c r="C53" s="76" t="s">
        <v>261</v>
      </c>
      <c r="E53" s="202"/>
      <c r="G53" s="77"/>
    </row>
    <row r="54" spans="1:7" ht="15">
      <c r="A54" s="30"/>
      <c r="C54" s="78" t="s">
        <v>122</v>
      </c>
      <c r="E54" s="194"/>
      <c r="G54" s="75"/>
    </row>
    <row r="55" spans="1:7" s="200" customFormat="1" ht="15">
      <c r="A55" s="188"/>
      <c r="B55" s="23" t="s">
        <v>39</v>
      </c>
      <c r="C55" s="168" t="str">
        <f>"- iz iskaza masa: "&amp;ROUNDUP((59.54),1)&amp;" m³"</f>
        <v>- iz iskaza masa: 59,6 m³</v>
      </c>
      <c r="D55" s="197"/>
      <c r="E55" s="198"/>
      <c r="F55" s="197"/>
      <c r="G55" s="199"/>
    </row>
    <row r="56" spans="1:7" s="200" customFormat="1" ht="15">
      <c r="A56" s="267"/>
      <c r="B56" s="271"/>
      <c r="C56" s="168" t="str">
        <f>"- dodatno za hidrante: 3,6+3,0×0,80×0,30 = "&amp;ROUNDUP((3.6+3*0.8*0.3),1)&amp;" m³"</f>
        <v>- dodatno za hidrante: 3,6+3,0×0,80×0,30 = 4,4 m³</v>
      </c>
      <c r="D56" s="268"/>
      <c r="E56" s="269"/>
      <c r="F56" s="268"/>
      <c r="G56" s="270"/>
    </row>
    <row r="57" spans="1:7" s="200" customFormat="1" ht="15">
      <c r="A57" s="188"/>
      <c r="B57" s="196"/>
      <c r="C57" s="374" t="str">
        <f>"UKUPNO: "&amp;ROUNDUP((59.6+4.4),1)&amp;" m³"</f>
        <v>UKUPNO: 64 m³</v>
      </c>
      <c r="D57" s="197"/>
      <c r="E57" s="198"/>
      <c r="F57" s="197"/>
      <c r="G57" s="199"/>
    </row>
    <row r="58" spans="1:7" s="200" customFormat="1" ht="15">
      <c r="A58" s="188"/>
      <c r="B58" s="196"/>
      <c r="C58" s="201"/>
      <c r="D58" s="197"/>
      <c r="E58" s="198"/>
      <c r="F58" s="197"/>
      <c r="G58" s="199"/>
    </row>
    <row r="59" spans="1:7" ht="15">
      <c r="A59" s="45"/>
      <c r="B59" s="33" t="s">
        <v>20</v>
      </c>
      <c r="C59" s="167">
        <f>ROUNDUP(64,0)</f>
        <v>64</v>
      </c>
      <c r="D59" s="22" t="s">
        <v>95</v>
      </c>
      <c r="E59" s="162"/>
      <c r="F59" s="14" t="s">
        <v>6</v>
      </c>
      <c r="G59" s="15">
        <f>+E59*C59</f>
        <v>0</v>
      </c>
    </row>
    <row r="60" spans="1:7" ht="16.5">
      <c r="A60" s="273"/>
      <c r="B60" s="274"/>
      <c r="C60" s="275"/>
      <c r="D60" s="276"/>
      <c r="E60" s="276"/>
      <c r="F60" s="276"/>
      <c r="G60" s="275"/>
    </row>
    <row r="61" spans="1:7" ht="114.75">
      <c r="A61" s="174" t="s">
        <v>43</v>
      </c>
      <c r="C61" s="76" t="s">
        <v>262</v>
      </c>
      <c r="E61" s="202"/>
      <c r="G61" s="77"/>
    </row>
    <row r="62" spans="1:7" ht="28.5">
      <c r="A62" s="30"/>
      <c r="C62" s="78" t="s">
        <v>124</v>
      </c>
      <c r="E62" s="194"/>
      <c r="G62" s="75"/>
    </row>
    <row r="63" spans="1:7" s="200" customFormat="1" ht="15">
      <c r="A63" s="188"/>
      <c r="B63" s="23" t="s">
        <v>39</v>
      </c>
      <c r="C63" s="168" t="str">
        <f>"- iz iskaza masa: "&amp;ROUNDUP(37.36,1)&amp;" m³"</f>
        <v>- iz iskaza masa: 37,4 m³</v>
      </c>
      <c r="D63" s="197"/>
      <c r="E63" s="198"/>
      <c r="F63" s="197"/>
      <c r="G63" s="199"/>
    </row>
    <row r="64" spans="1:7" s="200" customFormat="1" ht="18.75" customHeight="1">
      <c r="A64" s="267"/>
      <c r="B64" s="271"/>
      <c r="C64" s="168" t="str">
        <f>"- zatrpavanje oko hidranata:5,0+3,0×0,8×1,0 = "&amp;ROUNDUP((5.05+3*0.8*1),1)&amp;" m³"</f>
        <v>- zatrpavanje oko hidranata:5,0+3,0×0,8×1,0 = 7,5 m³</v>
      </c>
      <c r="D64" s="268"/>
      <c r="E64" s="269"/>
      <c r="F64" s="268"/>
      <c r="G64" s="270"/>
    </row>
    <row r="65" spans="1:7" s="200" customFormat="1" ht="18.75" customHeight="1">
      <c r="A65" s="267"/>
      <c r="B65" s="271"/>
      <c r="C65" s="168" t="str">
        <f>"- zatrpavanje oko okna: = "&amp;ROUNDUP((22.53),1)&amp;" m³"</f>
        <v>- zatrpavanje oko okna: = 22,6 m³</v>
      </c>
      <c r="D65" s="268"/>
      <c r="E65" s="269"/>
      <c r="F65" s="268"/>
      <c r="G65" s="270"/>
    </row>
    <row r="66" spans="1:7" s="200" customFormat="1" ht="15">
      <c r="A66" s="188"/>
      <c r="B66" s="196"/>
      <c r="C66" s="374" t="str">
        <f>"UKUPNO: "&amp;ROUNDUP((37.4+7.5+22.6),1)&amp;" m³"</f>
        <v>UKUPNO: 67,5 m³</v>
      </c>
      <c r="D66" s="197"/>
      <c r="E66" s="198"/>
      <c r="F66" s="197"/>
      <c r="G66" s="199"/>
    </row>
    <row r="67" spans="1:7" s="200" customFormat="1" ht="15">
      <c r="A67" s="188"/>
      <c r="B67" s="196"/>
      <c r="C67" s="201"/>
      <c r="D67" s="197"/>
      <c r="E67" s="198"/>
      <c r="F67" s="197"/>
      <c r="G67" s="199"/>
    </row>
    <row r="68" spans="1:7" ht="15">
      <c r="A68" s="45"/>
      <c r="B68" s="33" t="s">
        <v>20</v>
      </c>
      <c r="C68" s="167">
        <f>ROUNDUP(67.5,0)</f>
        <v>68</v>
      </c>
      <c r="D68" s="22" t="s">
        <v>95</v>
      </c>
      <c r="E68" s="162"/>
      <c r="F68" s="14" t="s">
        <v>6</v>
      </c>
      <c r="G68" s="15">
        <f>+E68*C68</f>
        <v>0</v>
      </c>
    </row>
    <row r="69" spans="1:7" ht="15">
      <c r="A69" s="226"/>
      <c r="B69" s="225"/>
      <c r="C69" s="277"/>
      <c r="D69" s="226"/>
      <c r="E69" s="278"/>
      <c r="F69" s="228"/>
      <c r="G69" s="264"/>
    </row>
    <row r="70" spans="1:7" s="12" customFormat="1" ht="186">
      <c r="A70" s="184" t="s">
        <v>44</v>
      </c>
      <c r="B70" s="16"/>
      <c r="C70" s="29" t="s">
        <v>263</v>
      </c>
      <c r="D70" s="4"/>
      <c r="E70" s="163"/>
      <c r="F70" s="4"/>
      <c r="G70" s="6"/>
    </row>
    <row r="71" spans="1:7" s="12" customFormat="1" ht="15">
      <c r="A71" s="174"/>
      <c r="B71" s="8"/>
      <c r="C71" s="78" t="s">
        <v>126</v>
      </c>
      <c r="D71" s="10"/>
      <c r="E71" s="194"/>
      <c r="F71" s="10"/>
      <c r="G71" s="75"/>
    </row>
    <row r="72" spans="1:7" ht="15">
      <c r="A72" s="14"/>
      <c r="B72" s="23" t="s">
        <v>39</v>
      </c>
      <c r="C72" s="205" t="str">
        <f>" 234 × 1,35 = "&amp;ROUNDUP(((234)*1.35),0)&amp;" m³"</f>
        <v xml:space="preserve"> 234 × 1,35 = 316 m³</v>
      </c>
      <c r="D72" s="4"/>
      <c r="E72" s="203"/>
      <c r="F72" s="4"/>
      <c r="G72" s="18"/>
    </row>
    <row r="73" spans="1:7" ht="15">
      <c r="A73" s="185" t="s">
        <v>57</v>
      </c>
      <c r="B73" s="34"/>
      <c r="C73" s="80" t="s">
        <v>22</v>
      </c>
      <c r="D73" s="24"/>
      <c r="E73" s="161"/>
      <c r="F73" s="24"/>
      <c r="G73" s="6" t="s">
        <v>11</v>
      </c>
    </row>
    <row r="74" spans="1:7" ht="15">
      <c r="A74" s="22"/>
      <c r="B74" s="13" t="s">
        <v>20</v>
      </c>
      <c r="C74" s="27">
        <f>ROUNDUP((234)*1.35,0)</f>
        <v>316</v>
      </c>
      <c r="D74" s="22" t="s">
        <v>95</v>
      </c>
      <c r="E74" s="204"/>
      <c r="F74" s="14" t="s">
        <v>6</v>
      </c>
      <c r="G74" s="15">
        <f>+E74*C74</f>
        <v>0</v>
      </c>
    </row>
    <row r="75" spans="1:7" ht="15">
      <c r="A75" s="185" t="s">
        <v>58</v>
      </c>
      <c r="B75" s="34"/>
      <c r="C75" s="80" t="s">
        <v>23</v>
      </c>
      <c r="D75" s="24"/>
      <c r="E75" s="161"/>
      <c r="F75" s="24"/>
      <c r="G75" s="6" t="s">
        <v>11</v>
      </c>
    </row>
    <row r="76" spans="1:7" ht="15">
      <c r="A76" s="22"/>
      <c r="B76" s="13" t="s">
        <v>20</v>
      </c>
      <c r="C76" s="27">
        <f>C74</f>
        <v>316</v>
      </c>
      <c r="D76" s="22" t="s">
        <v>95</v>
      </c>
      <c r="E76" s="204"/>
      <c r="F76" s="14" t="s">
        <v>6</v>
      </c>
      <c r="G76" s="15">
        <f>+E76*C76</f>
        <v>0</v>
      </c>
    </row>
    <row r="77" spans="1:7" ht="15">
      <c r="A77" s="22"/>
      <c r="B77" s="13"/>
      <c r="C77" s="27"/>
      <c r="D77" s="22"/>
      <c r="E77" s="204"/>
      <c r="F77" s="14"/>
      <c r="G77" s="15"/>
    </row>
    <row r="78" spans="1:7" ht="15">
      <c r="A78" s="22"/>
      <c r="B78" s="13"/>
      <c r="C78" s="27"/>
      <c r="D78" s="22"/>
      <c r="E78" s="204"/>
      <c r="F78" s="14"/>
      <c r="G78" s="15"/>
    </row>
    <row r="79" spans="1:7" s="12" customFormat="1" ht="15">
      <c r="A79" s="185"/>
      <c r="B79" s="23"/>
      <c r="C79" s="63"/>
      <c r="D79" s="24"/>
      <c r="E79" s="180"/>
      <c r="F79" s="24"/>
      <c r="G79" s="6"/>
    </row>
    <row r="80" spans="1:7" ht="15">
      <c r="A80" s="186"/>
      <c r="B80" s="50"/>
      <c r="C80" s="51"/>
      <c r="D80" s="52"/>
      <c r="E80" s="192"/>
      <c r="F80" s="52"/>
      <c r="G80" s="53"/>
    </row>
    <row r="81" spans="1:7" ht="15.75">
      <c r="A81" s="93" t="s">
        <v>18</v>
      </c>
      <c r="B81" s="55"/>
      <c r="C81" s="3" t="s">
        <v>24</v>
      </c>
      <c r="D81" s="54"/>
      <c r="E81" s="56"/>
      <c r="F81" s="55" t="s">
        <v>87</v>
      </c>
      <c r="G81" s="57">
        <f>SUM(G24:G80)</f>
        <v>0</v>
      </c>
    </row>
    <row r="82" spans="1:7" ht="15">
      <c r="A82" s="187"/>
      <c r="B82" s="58"/>
      <c r="C82" s="59"/>
      <c r="D82" s="60"/>
      <c r="E82" s="193"/>
      <c r="F82" s="60"/>
      <c r="G82" s="61"/>
    </row>
    <row r="83" spans="1:7" ht="15">
      <c r="A83" s="223"/>
      <c r="B83" s="234"/>
      <c r="C83" s="235"/>
      <c r="D83" s="220"/>
      <c r="E83" s="221"/>
      <c r="F83" s="220"/>
      <c r="G83" s="222"/>
    </row>
    <row r="84" spans="1:7" ht="15.75">
      <c r="A84" s="93" t="s">
        <v>27</v>
      </c>
      <c r="B84" s="55"/>
      <c r="C84" s="3" t="s">
        <v>28</v>
      </c>
      <c r="D84" s="54"/>
      <c r="E84" s="56"/>
      <c r="F84" s="54"/>
      <c r="G84" s="327"/>
    </row>
    <row r="85" spans="1:7" ht="11.25" customHeight="1">
      <c r="A85" s="266"/>
      <c r="B85" s="231"/>
      <c r="C85" s="281"/>
      <c r="D85" s="232"/>
      <c r="E85" s="236"/>
      <c r="F85" s="232"/>
      <c r="G85" s="261"/>
    </row>
    <row r="86" spans="1:7" ht="157.5">
      <c r="A86" s="174" t="s">
        <v>3</v>
      </c>
      <c r="C86" s="9" t="s">
        <v>244</v>
      </c>
      <c r="D86" s="320"/>
      <c r="E86" s="180"/>
      <c r="F86" s="320"/>
      <c r="G86" s="321"/>
    </row>
    <row r="87" spans="1:7" ht="15">
      <c r="A87" s="322"/>
      <c r="B87" s="23" t="s">
        <v>39</v>
      </c>
      <c r="C87" s="92">
        <v>3</v>
      </c>
      <c r="D87" s="89"/>
      <c r="E87" s="161"/>
      <c r="F87" s="89"/>
      <c r="G87" s="90"/>
    </row>
    <row r="88" spans="1:7" s="12" customFormat="1" ht="15">
      <c r="A88" s="322"/>
      <c r="B88" s="23"/>
      <c r="C88" s="323" t="str">
        <f>"UKUPNO: "&amp;C89&amp;" kom."</f>
        <v>UKUPNO: 3 kom.</v>
      </c>
      <c r="D88" s="89"/>
      <c r="E88" s="161"/>
      <c r="F88" s="89"/>
      <c r="G88" s="90"/>
    </row>
    <row r="89" spans="1:7" ht="15">
      <c r="A89" s="324"/>
      <c r="B89" s="13" t="s">
        <v>4</v>
      </c>
      <c r="C89" s="325">
        <f>SUM(C87)</f>
        <v>3</v>
      </c>
      <c r="D89" s="91" t="s">
        <v>95</v>
      </c>
      <c r="E89" s="162"/>
      <c r="F89" s="326" t="s">
        <v>6</v>
      </c>
      <c r="G89" s="66">
        <f>C89*E89</f>
        <v>0</v>
      </c>
    </row>
    <row r="90" spans="1:7" ht="6.75" customHeight="1">
      <c r="A90" s="324"/>
      <c r="B90" s="13"/>
      <c r="C90" s="325"/>
      <c r="D90" s="91"/>
      <c r="E90" s="162"/>
      <c r="F90" s="326"/>
      <c r="G90" s="66"/>
    </row>
    <row r="91" spans="1:7" ht="86.25">
      <c r="A91" s="174" t="s">
        <v>7</v>
      </c>
      <c r="B91" s="13"/>
      <c r="C91" s="9" t="s">
        <v>246</v>
      </c>
      <c r="D91" s="91"/>
      <c r="E91" s="162"/>
      <c r="F91" s="326"/>
      <c r="G91" s="66"/>
    </row>
    <row r="92" spans="1:7" ht="199.5" customHeight="1">
      <c r="A92" s="324"/>
      <c r="B92" s="13"/>
      <c r="C92" s="9" t="s">
        <v>245</v>
      </c>
      <c r="D92" s="91"/>
      <c r="E92" s="162"/>
      <c r="F92" s="326"/>
      <c r="G92" s="66"/>
    </row>
    <row r="93" spans="1:7" ht="47.25" customHeight="1">
      <c r="A93" s="324"/>
      <c r="B93" s="13"/>
      <c r="C93" s="48" t="s">
        <v>247</v>
      </c>
      <c r="D93" s="91"/>
      <c r="E93" s="162"/>
      <c r="F93" s="326"/>
      <c r="G93" s="66"/>
    </row>
    <row r="94" spans="1:7" ht="117">
      <c r="A94" s="174" t="s">
        <v>29</v>
      </c>
      <c r="B94" s="13"/>
      <c r="C94" s="350" t="s">
        <v>345</v>
      </c>
      <c r="D94" s="91"/>
      <c r="E94" s="162"/>
      <c r="F94" s="326"/>
      <c r="G94" s="66"/>
    </row>
    <row r="95" spans="1:7" ht="15">
      <c r="A95" s="351"/>
      <c r="B95" s="352" t="s">
        <v>4</v>
      </c>
      <c r="C95" s="353">
        <v>1</v>
      </c>
      <c r="D95" s="351" t="s">
        <v>5</v>
      </c>
      <c r="E95" s="354"/>
      <c r="F95" s="355" t="s">
        <v>6</v>
      </c>
      <c r="G95" s="356">
        <f>C95*E95</f>
        <v>0</v>
      </c>
    </row>
    <row r="96" spans="1:7" ht="9.75" customHeight="1">
      <c r="A96" s="351"/>
      <c r="B96" s="352"/>
      <c r="C96" s="353"/>
      <c r="D96" s="351"/>
      <c r="E96" s="354"/>
      <c r="F96" s="355"/>
      <c r="G96" s="356"/>
    </row>
    <row r="97" spans="1:7" ht="114.75">
      <c r="A97" s="174" t="s">
        <v>41</v>
      </c>
      <c r="B97" s="352"/>
      <c r="C97" s="357" t="s">
        <v>248</v>
      </c>
      <c r="D97" s="351"/>
      <c r="E97" s="354"/>
      <c r="F97" s="355"/>
      <c r="G97" s="356"/>
    </row>
    <row r="98" spans="1:7">
      <c r="A98" s="358"/>
      <c r="B98" s="23" t="s">
        <v>39</v>
      </c>
      <c r="C98" s="360">
        <v>2</v>
      </c>
      <c r="D98" s="361"/>
      <c r="E98" s="362"/>
      <c r="F98" s="361"/>
      <c r="G98" s="363"/>
    </row>
    <row r="99" spans="1:7">
      <c r="A99" s="364"/>
      <c r="B99" s="365"/>
      <c r="C99" s="374" t="str">
        <f>"UKUPNO: "&amp;C100&amp;" kom."</f>
        <v>UKUPNO: 2 kom.</v>
      </c>
      <c r="D99" s="366"/>
      <c r="E99" s="367"/>
      <c r="F99" s="366"/>
      <c r="G99" s="368"/>
    </row>
    <row r="100" spans="1:7" s="12" customFormat="1" ht="15">
      <c r="A100" s="184"/>
      <c r="B100" s="196" t="s">
        <v>4</v>
      </c>
      <c r="C100" s="325">
        <f>SUM(C98:C98)</f>
        <v>2</v>
      </c>
      <c r="D100" s="91" t="s">
        <v>95</v>
      </c>
      <c r="E100" s="218"/>
      <c r="F100" s="326" t="s">
        <v>6</v>
      </c>
      <c r="G100" s="85">
        <f>+C100*E100</f>
        <v>0</v>
      </c>
    </row>
    <row r="101" spans="1:7" s="12" customFormat="1" ht="10.5" customHeight="1">
      <c r="A101" s="183"/>
      <c r="B101" s="359"/>
      <c r="C101" s="369"/>
      <c r="D101" s="370"/>
      <c r="E101" s="371"/>
      <c r="F101" s="372"/>
      <c r="G101" s="373"/>
    </row>
    <row r="102" spans="1:7" ht="114.75">
      <c r="A102" s="174" t="s">
        <v>42</v>
      </c>
      <c r="C102" s="9" t="s">
        <v>213</v>
      </c>
      <c r="D102" s="320"/>
      <c r="E102" s="180"/>
      <c r="F102" s="320"/>
      <c r="G102" s="321"/>
    </row>
    <row r="103" spans="1:7" ht="15">
      <c r="A103" s="322"/>
      <c r="B103" s="23" t="s">
        <v>39</v>
      </c>
      <c r="C103" s="92">
        <v>2</v>
      </c>
      <c r="D103" s="89"/>
      <c r="E103" s="161"/>
      <c r="F103" s="89"/>
      <c r="G103" s="90"/>
    </row>
    <row r="104" spans="1:7" s="12" customFormat="1" ht="15">
      <c r="A104" s="322"/>
      <c r="B104" s="23"/>
      <c r="C104" s="323" t="str">
        <f>"UKUPNO: "&amp;C105&amp;" kom."</f>
        <v>UKUPNO: 2 kom.</v>
      </c>
      <c r="D104" s="89"/>
      <c r="E104" s="161"/>
      <c r="F104" s="89"/>
      <c r="G104" s="90"/>
    </row>
    <row r="105" spans="1:7" ht="15">
      <c r="A105" s="324"/>
      <c r="B105" s="13" t="s">
        <v>4</v>
      </c>
      <c r="C105" s="325">
        <f>SUM(C103)</f>
        <v>2</v>
      </c>
      <c r="D105" s="91" t="s">
        <v>95</v>
      </c>
      <c r="E105" s="162"/>
      <c r="F105" s="326" t="s">
        <v>6</v>
      </c>
      <c r="G105" s="66">
        <f>C105*E105</f>
        <v>0</v>
      </c>
    </row>
    <row r="106" spans="1:7" ht="15">
      <c r="A106" s="324"/>
      <c r="B106" s="13"/>
      <c r="C106" s="325"/>
      <c r="D106" s="91"/>
      <c r="E106" s="162"/>
      <c r="F106" s="326"/>
      <c r="G106" s="66"/>
    </row>
    <row r="107" spans="1:7" ht="15">
      <c r="A107" s="324"/>
      <c r="B107" s="13"/>
      <c r="C107" s="325"/>
      <c r="D107" s="91"/>
      <c r="E107" s="162"/>
      <c r="F107" s="326"/>
      <c r="G107" s="66"/>
    </row>
    <row r="108" spans="1:7" ht="15">
      <c r="A108" s="324"/>
      <c r="B108" s="13"/>
      <c r="C108" s="325"/>
      <c r="D108" s="91"/>
      <c r="E108" s="162"/>
      <c r="F108" s="326"/>
      <c r="G108" s="66"/>
    </row>
    <row r="109" spans="1:7" s="12" customFormat="1" ht="10.5" customHeight="1">
      <c r="A109" s="223"/>
      <c r="B109" s="234"/>
      <c r="C109" s="287"/>
      <c r="D109" s="282"/>
      <c r="E109" s="236"/>
      <c r="F109" s="282"/>
      <c r="G109" s="283"/>
    </row>
    <row r="110" spans="1:7" ht="15">
      <c r="A110" s="186"/>
      <c r="B110" s="50"/>
      <c r="C110" s="51"/>
      <c r="D110" s="52"/>
      <c r="E110" s="192"/>
      <c r="F110" s="52"/>
      <c r="G110" s="53"/>
    </row>
    <row r="111" spans="1:7" ht="15.75">
      <c r="A111" s="182" t="s">
        <v>27</v>
      </c>
      <c r="B111" s="328"/>
      <c r="C111" s="329" t="s">
        <v>30</v>
      </c>
      <c r="D111" s="54"/>
      <c r="E111" s="56"/>
      <c r="F111" s="55" t="s">
        <v>87</v>
      </c>
      <c r="G111" s="57">
        <f>SUM(G84:G110)</f>
        <v>0</v>
      </c>
    </row>
    <row r="112" spans="1:7" ht="15">
      <c r="A112" s="187"/>
      <c r="B112" s="58"/>
      <c r="C112" s="59"/>
      <c r="D112" s="60"/>
      <c r="E112" s="193"/>
      <c r="F112" s="60"/>
      <c r="G112" s="61"/>
    </row>
    <row r="113" spans="1:7" ht="15">
      <c r="A113" s="226"/>
      <c r="B113" s="234"/>
      <c r="C113" s="235"/>
      <c r="D113" s="220"/>
      <c r="E113" s="221"/>
      <c r="F113" s="220"/>
      <c r="G113" s="222"/>
    </row>
    <row r="114" spans="1:7" ht="15.75">
      <c r="A114" s="93" t="s">
        <v>31</v>
      </c>
      <c r="B114" s="55"/>
      <c r="C114" s="3" t="s">
        <v>79</v>
      </c>
      <c r="D114" s="54"/>
      <c r="E114" s="56"/>
      <c r="F114" s="54"/>
      <c r="G114" s="57"/>
    </row>
    <row r="115" spans="1:7" s="12" customFormat="1" ht="15">
      <c r="A115" s="30"/>
      <c r="B115" s="8"/>
      <c r="C115" s="82"/>
      <c r="D115" s="10"/>
      <c r="E115" s="180"/>
      <c r="F115" s="10"/>
      <c r="G115" s="6"/>
    </row>
    <row r="116" spans="1:7" s="12" customFormat="1" ht="300">
      <c r="A116" s="30"/>
      <c r="B116" s="8"/>
      <c r="C116" s="19" t="s">
        <v>34</v>
      </c>
      <c r="D116" s="10"/>
      <c r="E116" s="180"/>
      <c r="F116" s="10"/>
      <c r="G116" s="6"/>
    </row>
    <row r="117" spans="1:7" s="12" customFormat="1" ht="114">
      <c r="A117" s="30"/>
      <c r="B117" s="8"/>
      <c r="C117" s="9" t="s">
        <v>179</v>
      </c>
      <c r="D117" s="10"/>
      <c r="E117" s="180"/>
      <c r="F117" s="10"/>
      <c r="G117" s="6"/>
    </row>
    <row r="118" spans="1:7" ht="372">
      <c r="A118" s="184" t="s">
        <v>3</v>
      </c>
      <c r="B118" s="4"/>
      <c r="C118" s="21" t="s">
        <v>189</v>
      </c>
      <c r="D118" s="4"/>
      <c r="E118" s="163"/>
      <c r="F118" s="4"/>
      <c r="G118" s="18"/>
    </row>
    <row r="119" spans="1:7" ht="213.75">
      <c r="A119" s="7"/>
      <c r="B119" s="4"/>
      <c r="C119" s="21" t="s">
        <v>82</v>
      </c>
      <c r="D119" s="4"/>
      <c r="E119" s="163"/>
      <c r="F119" s="4"/>
      <c r="G119" s="18"/>
    </row>
    <row r="120" spans="1:7" ht="15">
      <c r="A120" s="184" t="s">
        <v>15</v>
      </c>
      <c r="B120" s="4"/>
      <c r="C120" s="83" t="s">
        <v>159</v>
      </c>
      <c r="D120" s="4"/>
      <c r="E120" s="163"/>
      <c r="F120" s="4"/>
      <c r="G120" s="18"/>
    </row>
    <row r="121" spans="1:7" ht="72.75">
      <c r="A121" s="1"/>
      <c r="B121" s="13"/>
      <c r="C121" s="84" t="s">
        <v>33</v>
      </c>
      <c r="D121" s="7"/>
      <c r="E121" s="162"/>
      <c r="F121" s="14"/>
      <c r="G121" s="15"/>
    </row>
    <row r="122" spans="1:7" ht="15">
      <c r="A122" s="22"/>
      <c r="B122" s="23" t="s">
        <v>39</v>
      </c>
      <c r="C122" s="149">
        <v>15</v>
      </c>
      <c r="D122" s="24"/>
      <c r="E122" s="161"/>
      <c r="F122" s="24"/>
      <c r="G122" s="25"/>
    </row>
    <row r="123" spans="1:7" ht="15">
      <c r="A123" s="22"/>
      <c r="B123" s="23"/>
      <c r="C123" s="317" t="str">
        <f>"UKUPNO: "&amp;C124&amp;" m'"</f>
        <v>UKUPNO: 15 m'</v>
      </c>
      <c r="D123" s="24"/>
      <c r="E123" s="161"/>
      <c r="F123" s="24"/>
      <c r="G123" s="25"/>
    </row>
    <row r="124" spans="1:7" ht="15">
      <c r="A124" s="1"/>
      <c r="B124" s="13" t="s">
        <v>8</v>
      </c>
      <c r="C124" s="27">
        <f>SUM(C122)</f>
        <v>15</v>
      </c>
      <c r="D124" s="7" t="s">
        <v>95</v>
      </c>
      <c r="E124" s="162"/>
      <c r="F124" s="14" t="s">
        <v>6</v>
      </c>
      <c r="G124" s="66">
        <f>C124*E124</f>
        <v>0</v>
      </c>
    </row>
    <row r="125" spans="1:7" ht="15">
      <c r="A125" s="245"/>
      <c r="B125" s="239"/>
      <c r="C125" s="279"/>
      <c r="D125" s="241"/>
      <c r="E125" s="219"/>
      <c r="F125" s="241"/>
      <c r="G125" s="272"/>
    </row>
    <row r="126" spans="1:7" ht="15">
      <c r="A126" s="184" t="s">
        <v>160</v>
      </c>
      <c r="B126" s="4"/>
      <c r="C126" s="83" t="s">
        <v>161</v>
      </c>
      <c r="D126" s="4"/>
      <c r="E126" s="163"/>
      <c r="F126" s="4"/>
      <c r="G126" s="18"/>
    </row>
    <row r="127" spans="1:7" ht="72.75">
      <c r="A127" s="1"/>
      <c r="B127" s="13"/>
      <c r="C127" s="84" t="s">
        <v>33</v>
      </c>
      <c r="D127" s="7"/>
      <c r="E127" s="162"/>
      <c r="F127" s="14"/>
      <c r="G127" s="15"/>
    </row>
    <row r="128" spans="1:7" ht="15">
      <c r="A128" s="22"/>
      <c r="B128" s="23" t="s">
        <v>39</v>
      </c>
      <c r="C128" s="149">
        <v>254</v>
      </c>
      <c r="D128" s="24"/>
      <c r="E128" s="161"/>
      <c r="F128" s="24"/>
      <c r="G128" s="25"/>
    </row>
    <row r="129" spans="1:7" ht="15">
      <c r="A129" s="22"/>
      <c r="B129" s="23"/>
      <c r="C129" s="317" t="str">
        <f>"UKUPNO: "&amp;C130&amp;" m'"</f>
        <v>UKUPNO: 254 m'</v>
      </c>
      <c r="D129" s="24"/>
      <c r="E129" s="161"/>
      <c r="F129" s="24"/>
      <c r="G129" s="25"/>
    </row>
    <row r="130" spans="1:7" ht="15">
      <c r="A130" s="1"/>
      <c r="B130" s="13" t="s">
        <v>8</v>
      </c>
      <c r="C130" s="27">
        <f>SUM(C128)</f>
        <v>254</v>
      </c>
      <c r="D130" s="7" t="s">
        <v>95</v>
      </c>
      <c r="E130" s="162"/>
      <c r="F130" s="14" t="s">
        <v>6</v>
      </c>
      <c r="G130" s="66">
        <f>C130*E130</f>
        <v>0</v>
      </c>
    </row>
    <row r="131" spans="1:7" ht="15">
      <c r="A131" s="245"/>
      <c r="B131" s="239"/>
      <c r="C131" s="279"/>
      <c r="D131" s="241"/>
      <c r="E131" s="219"/>
      <c r="F131" s="241"/>
      <c r="G131" s="272"/>
    </row>
    <row r="132" spans="1:7" ht="330.75">
      <c r="A132" s="185" t="s">
        <v>7</v>
      </c>
      <c r="B132" s="23"/>
      <c r="C132" s="9" t="s">
        <v>220</v>
      </c>
      <c r="D132" s="24"/>
      <c r="E132" s="161"/>
      <c r="F132" s="24"/>
      <c r="G132" s="25"/>
    </row>
    <row r="133" spans="1:7" ht="109.5" customHeight="1">
      <c r="A133" s="22"/>
      <c r="B133" s="23"/>
      <c r="C133" s="9" t="s">
        <v>83</v>
      </c>
      <c r="D133" s="24"/>
      <c r="E133" s="161"/>
      <c r="F133" s="24"/>
      <c r="G133" s="25"/>
    </row>
    <row r="134" spans="1:7" ht="15">
      <c r="A134" s="185" t="s">
        <v>29</v>
      </c>
      <c r="B134" s="23"/>
      <c r="C134" s="19" t="s">
        <v>68</v>
      </c>
      <c r="D134" s="24"/>
      <c r="E134" s="161"/>
      <c r="F134" s="24"/>
      <c r="G134" s="25"/>
    </row>
    <row r="135" spans="1:7" ht="15">
      <c r="A135" s="185" t="s">
        <v>128</v>
      </c>
      <c r="B135" s="23"/>
      <c r="C135" s="29" t="s">
        <v>190</v>
      </c>
      <c r="D135" s="24"/>
      <c r="E135" s="161"/>
      <c r="F135" s="24"/>
      <c r="G135" s="25"/>
    </row>
    <row r="136" spans="1:7" ht="72">
      <c r="A136" s="185"/>
      <c r="B136" s="23"/>
      <c r="C136" s="29" t="s">
        <v>191</v>
      </c>
      <c r="D136" s="24"/>
      <c r="E136" s="161"/>
      <c r="F136" s="24"/>
      <c r="G136" s="25"/>
    </row>
    <row r="137" spans="1:7" ht="15">
      <c r="A137" s="185"/>
      <c r="B137" s="23" t="s">
        <v>39</v>
      </c>
      <c r="C137" s="92">
        <v>13</v>
      </c>
      <c r="D137" s="24"/>
      <c r="E137" s="161"/>
      <c r="F137" s="24"/>
      <c r="G137" s="25"/>
    </row>
    <row r="138" spans="1:7" s="44" customFormat="1" ht="15">
      <c r="A138" s="185"/>
      <c r="B138" s="23"/>
      <c r="C138" s="318" t="str">
        <f>"UKUPNO: "&amp;C139&amp;" kom."</f>
        <v>UKUPNO: 13 kom.</v>
      </c>
      <c r="D138" s="24"/>
      <c r="E138" s="161"/>
      <c r="F138" s="24"/>
      <c r="G138" s="25"/>
    </row>
    <row r="139" spans="1:7" s="47" customFormat="1" ht="15">
      <c r="A139" s="185"/>
      <c r="B139" s="13" t="s">
        <v>4</v>
      </c>
      <c r="C139" s="22">
        <f>SUM(C137)</f>
        <v>13</v>
      </c>
      <c r="D139" s="22" t="s">
        <v>95</v>
      </c>
      <c r="E139" s="162"/>
      <c r="F139" s="46" t="s">
        <v>6</v>
      </c>
      <c r="G139" s="15">
        <f>C139*E139</f>
        <v>0</v>
      </c>
    </row>
    <row r="140" spans="1:7" ht="15">
      <c r="A140" s="223"/>
      <c r="B140" s="225"/>
      <c r="C140" s="242"/>
      <c r="D140" s="226"/>
      <c r="E140" s="227"/>
      <c r="F140" s="228"/>
      <c r="G140" s="229"/>
    </row>
    <row r="141" spans="1:7" ht="15">
      <c r="A141" s="185" t="s">
        <v>129</v>
      </c>
      <c r="B141" s="23"/>
      <c r="C141" s="29" t="s">
        <v>192</v>
      </c>
      <c r="D141" s="24"/>
      <c r="E141" s="161"/>
      <c r="F141" s="24"/>
      <c r="G141" s="25"/>
    </row>
    <row r="142" spans="1:7" ht="72">
      <c r="A142" s="185"/>
      <c r="B142" s="23"/>
      <c r="C142" s="29" t="s">
        <v>191</v>
      </c>
      <c r="D142" s="24"/>
      <c r="E142" s="161"/>
      <c r="F142" s="24"/>
      <c r="G142" s="25"/>
    </row>
    <row r="143" spans="1:7" ht="15">
      <c r="A143" s="185"/>
      <c r="B143" s="23" t="s">
        <v>39</v>
      </c>
      <c r="C143" s="92">
        <v>2</v>
      </c>
      <c r="D143" s="24"/>
      <c r="E143" s="161"/>
      <c r="F143" s="24"/>
      <c r="G143" s="25"/>
    </row>
    <row r="144" spans="1:7" s="44" customFormat="1" ht="15">
      <c r="A144" s="185"/>
      <c r="B144" s="23"/>
      <c r="C144" s="318" t="str">
        <f>"UKUPNO: "&amp;C145&amp;" kom."</f>
        <v>UKUPNO: 2 kom.</v>
      </c>
      <c r="D144" s="24"/>
      <c r="E144" s="161"/>
      <c r="F144" s="24"/>
      <c r="G144" s="25"/>
    </row>
    <row r="145" spans="1:7" s="47" customFormat="1" ht="15">
      <c r="A145" s="185"/>
      <c r="B145" s="13" t="s">
        <v>4</v>
      </c>
      <c r="C145" s="22">
        <f>SUM(C143)</f>
        <v>2</v>
      </c>
      <c r="D145" s="22" t="s">
        <v>95</v>
      </c>
      <c r="E145" s="162"/>
      <c r="F145" s="46" t="s">
        <v>6</v>
      </c>
      <c r="G145" s="15">
        <f>C145*E145</f>
        <v>0</v>
      </c>
    </row>
    <row r="146" spans="1:7" ht="15">
      <c r="A146" s="223"/>
      <c r="B146" s="225"/>
      <c r="C146" s="242"/>
      <c r="D146" s="226"/>
      <c r="E146" s="227"/>
      <c r="F146" s="228"/>
      <c r="G146" s="229"/>
    </row>
    <row r="147" spans="1:7" ht="15">
      <c r="A147" s="185" t="s">
        <v>130</v>
      </c>
      <c r="B147" s="23"/>
      <c r="C147" s="29" t="s">
        <v>193</v>
      </c>
      <c r="D147" s="24"/>
      <c r="E147" s="161"/>
      <c r="F147" s="24"/>
      <c r="G147" s="25"/>
    </row>
    <row r="148" spans="1:7" ht="72">
      <c r="A148" s="185"/>
      <c r="B148" s="23"/>
      <c r="C148" s="29" t="s">
        <v>191</v>
      </c>
      <c r="D148" s="24"/>
      <c r="E148" s="161"/>
      <c r="F148" s="24"/>
      <c r="G148" s="25"/>
    </row>
    <row r="149" spans="1:7" ht="15">
      <c r="A149" s="185"/>
      <c r="B149" s="23" t="s">
        <v>39</v>
      </c>
      <c r="C149" s="92">
        <v>1</v>
      </c>
      <c r="D149" s="24"/>
      <c r="E149" s="161"/>
      <c r="F149" s="24"/>
      <c r="G149" s="25"/>
    </row>
    <row r="150" spans="1:7" s="44" customFormat="1" ht="15">
      <c r="A150" s="185"/>
      <c r="B150" s="23"/>
      <c r="C150" s="318" t="str">
        <f>"UKUPNO: "&amp;C151&amp;" kom."</f>
        <v>UKUPNO: 1 kom.</v>
      </c>
      <c r="D150" s="24"/>
      <c r="E150" s="161"/>
      <c r="F150" s="24"/>
      <c r="G150" s="25"/>
    </row>
    <row r="151" spans="1:7" s="47" customFormat="1" ht="15">
      <c r="A151" s="185"/>
      <c r="B151" s="13" t="s">
        <v>4</v>
      </c>
      <c r="C151" s="22">
        <f>SUM(C149:C149)</f>
        <v>1</v>
      </c>
      <c r="D151" s="22" t="s">
        <v>95</v>
      </c>
      <c r="E151" s="162"/>
      <c r="F151" s="46" t="s">
        <v>6</v>
      </c>
      <c r="G151" s="15">
        <f>C151*E151</f>
        <v>0</v>
      </c>
    </row>
    <row r="152" spans="1:7" ht="15">
      <c r="A152" s="223"/>
      <c r="B152" s="225"/>
      <c r="C152" s="242"/>
      <c r="D152" s="226"/>
      <c r="E152" s="227"/>
      <c r="F152" s="228"/>
      <c r="G152" s="229"/>
    </row>
    <row r="153" spans="1:7" ht="15">
      <c r="A153" s="185" t="s">
        <v>131</v>
      </c>
      <c r="B153" s="23"/>
      <c r="C153" s="29" t="s">
        <v>194</v>
      </c>
      <c r="D153" s="24"/>
      <c r="E153" s="161"/>
      <c r="F153" s="24"/>
      <c r="G153" s="25"/>
    </row>
    <row r="154" spans="1:7" ht="72">
      <c r="A154" s="185"/>
      <c r="B154" s="23"/>
      <c r="C154" s="29" t="s">
        <v>191</v>
      </c>
      <c r="D154" s="24"/>
      <c r="E154" s="161"/>
      <c r="F154" s="24"/>
      <c r="G154" s="25"/>
    </row>
    <row r="155" spans="1:7" ht="15">
      <c r="A155" s="185"/>
      <c r="B155" s="23" t="s">
        <v>39</v>
      </c>
      <c r="C155" s="92">
        <v>6</v>
      </c>
      <c r="D155" s="24"/>
      <c r="E155" s="161"/>
      <c r="F155" s="24"/>
      <c r="G155" s="25"/>
    </row>
    <row r="156" spans="1:7" s="44" customFormat="1" ht="15">
      <c r="A156" s="185"/>
      <c r="B156" s="23"/>
      <c r="C156" s="318" t="str">
        <f>"UKUPNO: "&amp;C157&amp;" kom."</f>
        <v>UKUPNO: 4 kom.</v>
      </c>
      <c r="D156" s="24"/>
      <c r="E156" s="161"/>
      <c r="F156" s="24"/>
      <c r="G156" s="25"/>
    </row>
    <row r="157" spans="1:7" s="47" customFormat="1" ht="15">
      <c r="A157" s="185"/>
      <c r="B157" s="13" t="s">
        <v>4</v>
      </c>
      <c r="C157" s="22">
        <v>4</v>
      </c>
      <c r="D157" s="22" t="s">
        <v>95</v>
      </c>
      <c r="E157" s="162"/>
      <c r="F157" s="46" t="s">
        <v>6</v>
      </c>
      <c r="G157" s="15">
        <f>C157*E157</f>
        <v>0</v>
      </c>
    </row>
    <row r="158" spans="1:7" ht="15">
      <c r="A158" s="223"/>
      <c r="B158" s="225"/>
      <c r="C158" s="242"/>
      <c r="D158" s="226"/>
      <c r="E158" s="227"/>
      <c r="F158" s="228"/>
      <c r="G158" s="229"/>
    </row>
    <row r="159" spans="1:7" ht="15">
      <c r="A159" s="185" t="s">
        <v>132</v>
      </c>
      <c r="B159" s="23"/>
      <c r="C159" s="29" t="s">
        <v>195</v>
      </c>
      <c r="D159" s="24"/>
      <c r="E159" s="161"/>
      <c r="F159" s="24"/>
      <c r="G159" s="25"/>
    </row>
    <row r="160" spans="1:7" ht="72">
      <c r="A160" s="185"/>
      <c r="B160" s="23"/>
      <c r="C160" s="29" t="s">
        <v>191</v>
      </c>
      <c r="D160" s="24"/>
      <c r="E160" s="161"/>
      <c r="F160" s="24"/>
      <c r="G160" s="25"/>
    </row>
    <row r="161" spans="1:7" ht="15">
      <c r="A161" s="185"/>
      <c r="B161" s="23" t="s">
        <v>39</v>
      </c>
      <c r="C161" s="92">
        <v>3</v>
      </c>
      <c r="D161" s="24"/>
      <c r="E161" s="161"/>
      <c r="F161" s="24"/>
      <c r="G161" s="25"/>
    </row>
    <row r="162" spans="1:7" s="44" customFormat="1" ht="15">
      <c r="A162" s="185"/>
      <c r="B162" s="23"/>
      <c r="C162" s="318" t="str">
        <f>"UKUPNO: "&amp;C163&amp;" kom."</f>
        <v>UKUPNO: 2 kom.</v>
      </c>
      <c r="D162" s="24"/>
      <c r="E162" s="161"/>
      <c r="F162" s="24"/>
      <c r="G162" s="25"/>
    </row>
    <row r="163" spans="1:7" s="47" customFormat="1" ht="15">
      <c r="A163" s="185"/>
      <c r="B163" s="13" t="s">
        <v>4</v>
      </c>
      <c r="C163" s="22">
        <v>2</v>
      </c>
      <c r="D163" s="22" t="s">
        <v>95</v>
      </c>
      <c r="E163" s="162"/>
      <c r="F163" s="46" t="s">
        <v>6</v>
      </c>
      <c r="G163" s="15">
        <f>C163*E163</f>
        <v>0</v>
      </c>
    </row>
    <row r="164" spans="1:7" ht="15">
      <c r="A164" s="223"/>
      <c r="B164" s="225"/>
      <c r="C164" s="242"/>
      <c r="D164" s="226"/>
      <c r="E164" s="227"/>
      <c r="F164" s="228"/>
      <c r="G164" s="229"/>
    </row>
    <row r="165" spans="1:7" ht="15">
      <c r="A165" s="185" t="s">
        <v>133</v>
      </c>
      <c r="B165" s="23"/>
      <c r="C165" s="29" t="s">
        <v>196</v>
      </c>
      <c r="D165" s="24"/>
      <c r="E165" s="161"/>
      <c r="F165" s="24"/>
      <c r="G165" s="25"/>
    </row>
    <row r="166" spans="1:7" ht="72">
      <c r="A166" s="185"/>
      <c r="B166" s="23"/>
      <c r="C166" s="29" t="s">
        <v>191</v>
      </c>
      <c r="D166" s="24"/>
      <c r="E166" s="161"/>
      <c r="F166" s="24"/>
      <c r="G166" s="25"/>
    </row>
    <row r="167" spans="1:7" ht="15">
      <c r="A167" s="185"/>
      <c r="B167" s="23" t="s">
        <v>39</v>
      </c>
      <c r="C167" s="92">
        <v>2</v>
      </c>
      <c r="D167" s="24"/>
      <c r="E167" s="161"/>
      <c r="F167" s="24"/>
      <c r="G167" s="25"/>
    </row>
    <row r="168" spans="1:7" s="44" customFormat="1" ht="15">
      <c r="A168" s="185"/>
      <c r="B168" s="23"/>
      <c r="C168" s="318" t="str">
        <f>"UKUPNO: "&amp;C169&amp;" kom."</f>
        <v>UKUPNO: 3 kom.</v>
      </c>
      <c r="D168" s="24"/>
      <c r="E168" s="161"/>
      <c r="F168" s="24"/>
      <c r="G168" s="25"/>
    </row>
    <row r="169" spans="1:7" s="47" customFormat="1" ht="15">
      <c r="A169" s="185"/>
      <c r="B169" s="13" t="s">
        <v>4</v>
      </c>
      <c r="C169" s="22">
        <v>3</v>
      </c>
      <c r="D169" s="22" t="s">
        <v>95</v>
      </c>
      <c r="E169" s="162"/>
      <c r="F169" s="46" t="s">
        <v>6</v>
      </c>
      <c r="G169" s="15">
        <f>C169*E169</f>
        <v>0</v>
      </c>
    </row>
    <row r="170" spans="1:7" ht="15">
      <c r="A170" s="223"/>
      <c r="B170" s="225"/>
      <c r="C170" s="27"/>
      <c r="D170" s="226"/>
      <c r="E170" s="227"/>
      <c r="F170" s="228"/>
      <c r="G170" s="229"/>
    </row>
    <row r="171" spans="1:7" ht="15">
      <c r="A171" s="319" t="s">
        <v>134</v>
      </c>
      <c r="B171" s="23"/>
      <c r="C171" s="29" t="s">
        <v>197</v>
      </c>
      <c r="D171" s="24"/>
      <c r="E171" s="161"/>
      <c r="F171" s="24"/>
      <c r="G171" s="25"/>
    </row>
    <row r="172" spans="1:7" ht="72">
      <c r="A172" s="185"/>
      <c r="B172" s="23"/>
      <c r="C172" s="29" t="s">
        <v>191</v>
      </c>
      <c r="D172" s="24"/>
      <c r="E172" s="161"/>
      <c r="F172" s="24"/>
      <c r="G172" s="25"/>
    </row>
    <row r="173" spans="1:7" ht="15">
      <c r="A173" s="185"/>
      <c r="B173" s="23" t="s">
        <v>39</v>
      </c>
      <c r="C173" s="92">
        <v>3</v>
      </c>
      <c r="D173" s="24"/>
      <c r="E173" s="161"/>
      <c r="F173" s="24"/>
      <c r="G173" s="25"/>
    </row>
    <row r="174" spans="1:7" s="44" customFormat="1" ht="15">
      <c r="A174" s="185"/>
      <c r="B174" s="23"/>
      <c r="C174" s="318" t="str">
        <f>"UKUPNO: "&amp;C175&amp;" kom."</f>
        <v>UKUPNO: 4 kom.</v>
      </c>
      <c r="D174" s="24"/>
      <c r="E174" s="161"/>
      <c r="F174" s="24"/>
      <c r="G174" s="25"/>
    </row>
    <row r="175" spans="1:7" s="47" customFormat="1" ht="15">
      <c r="A175" s="185"/>
      <c r="B175" s="13" t="s">
        <v>4</v>
      </c>
      <c r="C175" s="22">
        <v>4</v>
      </c>
      <c r="D175" s="22" t="s">
        <v>135</v>
      </c>
      <c r="E175" s="162"/>
      <c r="F175" s="46" t="s">
        <v>6</v>
      </c>
      <c r="G175" s="15">
        <f>C175*E175</f>
        <v>0</v>
      </c>
    </row>
    <row r="176" spans="1:7" ht="15">
      <c r="A176" s="223"/>
      <c r="B176" s="225"/>
      <c r="C176" s="242"/>
      <c r="D176" s="226"/>
      <c r="E176" s="227"/>
      <c r="F176" s="228"/>
      <c r="G176" s="229"/>
    </row>
    <row r="177" spans="1:7" s="47" customFormat="1" ht="15">
      <c r="A177" s="319" t="s">
        <v>136</v>
      </c>
      <c r="B177" s="23"/>
      <c r="C177" s="29" t="s">
        <v>342</v>
      </c>
      <c r="D177" s="24"/>
      <c r="E177" s="161"/>
      <c r="F177" s="24"/>
      <c r="G177" s="25"/>
    </row>
    <row r="178" spans="1:7" s="47" customFormat="1" ht="72">
      <c r="A178" s="185"/>
      <c r="B178" s="23"/>
      <c r="C178" s="29" t="s">
        <v>191</v>
      </c>
      <c r="D178" s="24"/>
      <c r="E178" s="161"/>
      <c r="F178" s="24"/>
      <c r="G178" s="25"/>
    </row>
    <row r="179" spans="1:7" s="47" customFormat="1" ht="15">
      <c r="A179" s="185"/>
      <c r="B179" s="23" t="s">
        <v>39</v>
      </c>
      <c r="C179" s="92">
        <v>1</v>
      </c>
      <c r="D179" s="24"/>
      <c r="E179" s="161"/>
      <c r="F179" s="24"/>
      <c r="G179" s="25"/>
    </row>
    <row r="180" spans="1:7" s="47" customFormat="1" ht="15">
      <c r="A180" s="185"/>
      <c r="B180" s="23"/>
      <c r="C180" s="318" t="str">
        <f>"UKUPNO: "&amp;C181&amp;" kom."</f>
        <v>UKUPNO: 3 kom.</v>
      </c>
      <c r="D180" s="24"/>
      <c r="E180" s="161"/>
      <c r="F180" s="24"/>
      <c r="G180" s="25"/>
    </row>
    <row r="181" spans="1:7" s="47" customFormat="1" ht="15">
      <c r="A181" s="185"/>
      <c r="B181" s="13" t="s">
        <v>4</v>
      </c>
      <c r="C181" s="22">
        <v>3</v>
      </c>
      <c r="D181" s="22" t="s">
        <v>135</v>
      </c>
      <c r="E181" s="162"/>
      <c r="F181" s="46" t="s">
        <v>6</v>
      </c>
      <c r="G181" s="15">
        <f>C181*E181</f>
        <v>0</v>
      </c>
    </row>
    <row r="182" spans="1:7" s="47" customFormat="1" ht="15">
      <c r="A182" s="185"/>
      <c r="B182" s="13"/>
      <c r="C182" s="22"/>
      <c r="D182" s="22"/>
      <c r="E182" s="162"/>
      <c r="F182" s="46"/>
      <c r="G182" s="15"/>
    </row>
    <row r="183" spans="1:7" s="47" customFormat="1" ht="15">
      <c r="A183" s="319" t="s">
        <v>137</v>
      </c>
      <c r="B183" s="23"/>
      <c r="C183" s="29" t="s">
        <v>198</v>
      </c>
      <c r="D183" s="24"/>
      <c r="E183" s="161"/>
      <c r="F183" s="24"/>
      <c r="G183" s="25"/>
    </row>
    <row r="184" spans="1:7" s="47" customFormat="1" ht="72">
      <c r="A184" s="185"/>
      <c r="B184" s="23"/>
      <c r="C184" s="29" t="s">
        <v>191</v>
      </c>
      <c r="D184" s="24"/>
      <c r="E184" s="161"/>
      <c r="F184" s="24"/>
      <c r="G184" s="25"/>
    </row>
    <row r="185" spans="1:7" s="47" customFormat="1" ht="15">
      <c r="A185" s="185"/>
      <c r="B185" s="23" t="s">
        <v>39</v>
      </c>
      <c r="C185" s="92">
        <v>1</v>
      </c>
      <c r="D185" s="24"/>
      <c r="E185" s="161"/>
      <c r="F185" s="24"/>
      <c r="G185" s="25"/>
    </row>
    <row r="186" spans="1:7" s="47" customFormat="1" ht="15">
      <c r="A186" s="185"/>
      <c r="B186" s="23"/>
      <c r="C186" s="318" t="str">
        <f>"UKUPNO: "&amp;C187&amp;" kom."</f>
        <v>UKUPNO: 2 kom.</v>
      </c>
      <c r="D186" s="24"/>
      <c r="E186" s="161"/>
      <c r="F186" s="24"/>
      <c r="G186" s="25"/>
    </row>
    <row r="187" spans="1:7" s="47" customFormat="1" ht="15">
      <c r="A187" s="185"/>
      <c r="B187" s="13" t="s">
        <v>4</v>
      </c>
      <c r="C187" s="22">
        <v>2</v>
      </c>
      <c r="D187" s="22" t="s">
        <v>135</v>
      </c>
      <c r="E187" s="162"/>
      <c r="F187" s="46" t="s">
        <v>6</v>
      </c>
      <c r="G187" s="15">
        <f>C187*E187</f>
        <v>0</v>
      </c>
    </row>
    <row r="188" spans="1:7" s="47" customFormat="1" ht="15">
      <c r="A188" s="185"/>
      <c r="B188" s="13"/>
      <c r="C188" s="22"/>
      <c r="D188" s="22"/>
      <c r="E188" s="162"/>
      <c r="F188" s="46"/>
      <c r="G188" s="15"/>
    </row>
    <row r="189" spans="1:7" s="47" customFormat="1" ht="15">
      <c r="A189" s="185" t="s">
        <v>138</v>
      </c>
      <c r="B189" s="23"/>
      <c r="C189" s="29" t="s">
        <v>199</v>
      </c>
      <c r="D189" s="24"/>
      <c r="E189" s="161"/>
      <c r="F189" s="24"/>
      <c r="G189" s="25"/>
    </row>
    <row r="190" spans="1:7" s="47" customFormat="1" ht="72">
      <c r="A190" s="185"/>
      <c r="B190" s="23"/>
      <c r="C190" s="29" t="s">
        <v>191</v>
      </c>
      <c r="D190" s="24"/>
      <c r="E190" s="161"/>
      <c r="F190" s="24"/>
      <c r="G190" s="25"/>
    </row>
    <row r="191" spans="1:7" s="47" customFormat="1" ht="15">
      <c r="A191" s="185"/>
      <c r="B191" s="23" t="s">
        <v>39</v>
      </c>
      <c r="C191" s="92">
        <v>1</v>
      </c>
      <c r="D191" s="24"/>
      <c r="E191" s="161"/>
      <c r="F191" s="24"/>
      <c r="G191" s="25"/>
    </row>
    <row r="192" spans="1:7" s="47" customFormat="1" ht="15">
      <c r="A192" s="185"/>
      <c r="B192" s="23"/>
      <c r="C192" s="318" t="str">
        <f>"UKUPNO: "&amp;C193&amp;" kom."</f>
        <v>UKUPNO: 1 kom.</v>
      </c>
      <c r="D192" s="24"/>
      <c r="E192" s="161"/>
      <c r="F192" s="24"/>
      <c r="G192" s="25"/>
    </row>
    <row r="193" spans="1:7" s="47" customFormat="1" ht="15">
      <c r="A193" s="185"/>
      <c r="B193" s="13" t="s">
        <v>4</v>
      </c>
      <c r="C193" s="22">
        <f>SUM(C191)</f>
        <v>1</v>
      </c>
      <c r="D193" s="22" t="s">
        <v>135</v>
      </c>
      <c r="E193" s="162"/>
      <c r="F193" s="46" t="s">
        <v>6</v>
      </c>
      <c r="G193" s="15">
        <f>C193*E193</f>
        <v>0</v>
      </c>
    </row>
    <row r="194" spans="1:7" ht="15">
      <c r="A194" s="223"/>
      <c r="B194" s="225"/>
      <c r="C194" s="242"/>
      <c r="D194" s="226"/>
      <c r="E194" s="227"/>
      <c r="F194" s="228"/>
      <c r="G194" s="229"/>
    </row>
    <row r="195" spans="1:7" ht="15">
      <c r="A195" s="185" t="s">
        <v>139</v>
      </c>
      <c r="B195" s="23"/>
      <c r="C195" s="29" t="s">
        <v>200</v>
      </c>
      <c r="D195" s="24"/>
      <c r="E195" s="161"/>
      <c r="F195" s="24"/>
      <c r="G195" s="25"/>
    </row>
    <row r="196" spans="1:7" ht="72">
      <c r="A196" s="185"/>
      <c r="B196" s="23"/>
      <c r="C196" s="29" t="s">
        <v>191</v>
      </c>
      <c r="D196" s="24"/>
      <c r="E196" s="161"/>
      <c r="F196" s="24"/>
      <c r="G196" s="25"/>
    </row>
    <row r="197" spans="1:7" ht="15">
      <c r="A197" s="185"/>
      <c r="B197" s="23" t="s">
        <v>39</v>
      </c>
      <c r="C197" s="92">
        <v>1</v>
      </c>
      <c r="D197" s="24"/>
      <c r="E197" s="161"/>
      <c r="F197" s="24"/>
      <c r="G197" s="25"/>
    </row>
    <row r="198" spans="1:7" s="44" customFormat="1" ht="15">
      <c r="A198" s="185"/>
      <c r="B198" s="23"/>
      <c r="C198" s="318" t="str">
        <f>"UKUPNO: "&amp;C199&amp;" kom."</f>
        <v>UKUPNO: 1 kom.</v>
      </c>
      <c r="D198" s="24"/>
      <c r="E198" s="161"/>
      <c r="F198" s="24"/>
      <c r="G198" s="25"/>
    </row>
    <row r="199" spans="1:7" s="47" customFormat="1" ht="15">
      <c r="A199" s="185"/>
      <c r="B199" s="13" t="s">
        <v>4</v>
      </c>
      <c r="C199" s="22">
        <f>SUM(C197)</f>
        <v>1</v>
      </c>
      <c r="D199" s="22" t="s">
        <v>135</v>
      </c>
      <c r="E199" s="162"/>
      <c r="F199" s="46" t="s">
        <v>6</v>
      </c>
      <c r="G199" s="15">
        <f>C199*E199</f>
        <v>0</v>
      </c>
    </row>
    <row r="200" spans="1:7" s="47" customFormat="1" ht="15">
      <c r="A200" s="185"/>
      <c r="B200" s="13"/>
      <c r="C200" s="22"/>
      <c r="D200" s="22"/>
      <c r="E200" s="162"/>
      <c r="F200" s="46"/>
      <c r="G200" s="15"/>
    </row>
    <row r="201" spans="1:7" s="47" customFormat="1" ht="15">
      <c r="A201" s="185" t="s">
        <v>140</v>
      </c>
      <c r="B201" s="23"/>
      <c r="C201" s="29" t="s">
        <v>343</v>
      </c>
      <c r="D201" s="24"/>
      <c r="E201" s="161"/>
      <c r="F201" s="24"/>
      <c r="G201" s="25"/>
    </row>
    <row r="202" spans="1:7" s="47" customFormat="1" ht="72">
      <c r="A202" s="185"/>
      <c r="B202" s="23"/>
      <c r="C202" s="29" t="s">
        <v>191</v>
      </c>
      <c r="D202" s="24"/>
      <c r="E202" s="161"/>
      <c r="F202" s="24"/>
      <c r="G202" s="25"/>
    </row>
    <row r="203" spans="1:7" s="47" customFormat="1" ht="15">
      <c r="A203" s="185"/>
      <c r="B203" s="23" t="s">
        <v>39</v>
      </c>
      <c r="C203" s="92">
        <v>2</v>
      </c>
      <c r="D203" s="24"/>
      <c r="E203" s="161"/>
      <c r="F203" s="24"/>
      <c r="G203" s="25"/>
    </row>
    <row r="204" spans="1:7" s="47" customFormat="1" ht="15">
      <c r="A204" s="185"/>
      <c r="B204" s="23"/>
      <c r="C204" s="318" t="str">
        <f>"UKUPNO: "&amp;C205&amp;" kom."</f>
        <v>UKUPNO: 3 kom.</v>
      </c>
      <c r="D204" s="24"/>
      <c r="E204" s="161"/>
      <c r="F204" s="24"/>
      <c r="G204" s="25"/>
    </row>
    <row r="205" spans="1:7" s="47" customFormat="1" ht="15">
      <c r="A205" s="185"/>
      <c r="B205" s="13" t="s">
        <v>4</v>
      </c>
      <c r="C205" s="22">
        <v>3</v>
      </c>
      <c r="D205" s="22" t="s">
        <v>135</v>
      </c>
      <c r="E205" s="162"/>
      <c r="F205" s="46" t="s">
        <v>6</v>
      </c>
      <c r="G205" s="15">
        <f>C205*E205</f>
        <v>0</v>
      </c>
    </row>
    <row r="206" spans="1:7" ht="15">
      <c r="A206" s="223"/>
      <c r="B206" s="23"/>
      <c r="C206" s="29" t="s">
        <v>356</v>
      </c>
      <c r="D206" s="24"/>
      <c r="E206" s="161"/>
      <c r="F206" s="24"/>
      <c r="G206" s="229"/>
    </row>
    <row r="207" spans="1:7" ht="72">
      <c r="A207" s="185" t="s">
        <v>141</v>
      </c>
      <c r="B207" s="23"/>
      <c r="C207" s="29" t="s">
        <v>191</v>
      </c>
      <c r="D207" s="24"/>
      <c r="E207" s="161"/>
      <c r="F207" s="24"/>
      <c r="G207" s="25"/>
    </row>
    <row r="208" spans="1:7" ht="15">
      <c r="A208" s="185"/>
      <c r="B208" s="23" t="s">
        <v>39</v>
      </c>
      <c r="C208" s="92">
        <v>1</v>
      </c>
      <c r="D208" s="24"/>
      <c r="E208" s="161"/>
      <c r="F208" s="24"/>
      <c r="G208" s="25"/>
    </row>
    <row r="209" spans="1:7" ht="15">
      <c r="A209" s="185"/>
      <c r="B209" s="23"/>
      <c r="C209" s="318" t="str">
        <f>"UKUPNO: "&amp;C210&amp;" kom."</f>
        <v>UKUPNO: 1 kom.</v>
      </c>
      <c r="D209" s="24"/>
      <c r="E209" s="161"/>
      <c r="F209" s="24"/>
      <c r="G209" s="25"/>
    </row>
    <row r="210" spans="1:7" s="44" customFormat="1" ht="15">
      <c r="A210" s="185"/>
      <c r="B210" s="13" t="s">
        <v>4</v>
      </c>
      <c r="C210" s="22">
        <v>1</v>
      </c>
      <c r="D210" s="22" t="s">
        <v>135</v>
      </c>
      <c r="E210" s="162"/>
      <c r="F210" s="46" t="s">
        <v>6</v>
      </c>
      <c r="G210" s="25"/>
    </row>
    <row r="211" spans="1:7" s="47" customFormat="1" ht="15">
      <c r="A211" s="185"/>
      <c r="B211" s="13"/>
      <c r="C211" s="27"/>
      <c r="D211" s="7"/>
      <c r="E211" s="162"/>
      <c r="F211" s="14"/>
      <c r="G211" s="15">
        <f>C210*E210</f>
        <v>0</v>
      </c>
    </row>
    <row r="212" spans="1:7" ht="15">
      <c r="A212" s="223"/>
      <c r="B212" s="23"/>
      <c r="C212" s="29" t="s">
        <v>357</v>
      </c>
      <c r="D212" s="24"/>
      <c r="E212" s="161"/>
      <c r="F212" s="24"/>
      <c r="G212" s="229"/>
    </row>
    <row r="213" spans="1:7" ht="72">
      <c r="A213" s="185" t="s">
        <v>142</v>
      </c>
      <c r="B213" s="23"/>
      <c r="C213" s="29" t="s">
        <v>191</v>
      </c>
      <c r="D213" s="24"/>
      <c r="E213" s="161"/>
      <c r="F213" s="24"/>
      <c r="G213" s="272"/>
    </row>
    <row r="214" spans="1:7" ht="15">
      <c r="A214" s="185"/>
      <c r="G214" s="272"/>
    </row>
    <row r="215" spans="1:7" ht="15">
      <c r="A215" s="185"/>
      <c r="B215" s="23" t="s">
        <v>39</v>
      </c>
      <c r="C215" s="92">
        <v>2</v>
      </c>
      <c r="D215" s="24"/>
      <c r="E215" s="161"/>
      <c r="F215" s="24"/>
      <c r="G215" s="25"/>
    </row>
    <row r="216" spans="1:7" s="44" customFormat="1" ht="15">
      <c r="A216" s="185"/>
      <c r="B216" s="23"/>
      <c r="C216" s="318" t="str">
        <f>"UKUPNO: "&amp;C217&amp;" kom."</f>
        <v>UKUPNO: 2 kom.</v>
      </c>
      <c r="D216" s="24"/>
      <c r="E216" s="161"/>
      <c r="F216" s="24"/>
      <c r="G216" s="25"/>
    </row>
    <row r="217" spans="1:7" s="47" customFormat="1" ht="15">
      <c r="A217" s="185"/>
      <c r="B217" s="13" t="s">
        <v>4</v>
      </c>
      <c r="C217" s="22">
        <v>2</v>
      </c>
      <c r="D217" s="22" t="s">
        <v>135</v>
      </c>
      <c r="E217" s="162"/>
      <c r="F217" s="46" t="s">
        <v>6</v>
      </c>
      <c r="G217" s="15">
        <f>C217*E217</f>
        <v>0</v>
      </c>
    </row>
    <row r="218" spans="1:7" ht="15">
      <c r="A218" s="223"/>
      <c r="B218" s="225"/>
      <c r="C218" s="242"/>
      <c r="D218" s="226"/>
      <c r="E218" s="227"/>
      <c r="F218" s="228"/>
      <c r="G218" s="229"/>
    </row>
    <row r="219" spans="1:7" ht="15">
      <c r="A219" s="185" t="s">
        <v>143</v>
      </c>
      <c r="B219" s="23"/>
      <c r="C219" s="29" t="s">
        <v>201</v>
      </c>
      <c r="D219" s="24"/>
      <c r="E219" s="161"/>
      <c r="F219" s="24"/>
      <c r="G219" s="25"/>
    </row>
    <row r="220" spans="1:7" ht="72">
      <c r="A220" s="185"/>
      <c r="B220" s="23"/>
      <c r="C220" s="29" t="s">
        <v>191</v>
      </c>
      <c r="D220" s="24"/>
      <c r="E220" s="161"/>
      <c r="F220" s="24"/>
      <c r="G220" s="25"/>
    </row>
    <row r="221" spans="1:7" ht="15">
      <c r="A221" s="185"/>
      <c r="B221" s="23" t="s">
        <v>39</v>
      </c>
      <c r="C221" s="92">
        <v>3</v>
      </c>
      <c r="D221" s="24"/>
      <c r="E221" s="161"/>
      <c r="F221" s="24"/>
      <c r="G221" s="25"/>
    </row>
    <row r="222" spans="1:7" s="44" customFormat="1" ht="15">
      <c r="A222" s="185"/>
      <c r="B222" s="23"/>
      <c r="C222" s="318" t="str">
        <f>"UKUPNO: "&amp;C223&amp;" kom."</f>
        <v>UKUPNO: 3 kom.</v>
      </c>
      <c r="D222" s="24"/>
      <c r="E222" s="161"/>
      <c r="F222" s="24"/>
      <c r="G222" s="25"/>
    </row>
    <row r="223" spans="1:7" s="47" customFormat="1" ht="15">
      <c r="A223" s="185"/>
      <c r="B223" s="13" t="s">
        <v>4</v>
      </c>
      <c r="C223" s="22">
        <f>SUM(C221)</f>
        <v>3</v>
      </c>
      <c r="D223" s="22" t="s">
        <v>135</v>
      </c>
      <c r="E223" s="162"/>
      <c r="F223" s="46" t="s">
        <v>6</v>
      </c>
      <c r="G223" s="15">
        <f>C223*E223</f>
        <v>0</v>
      </c>
    </row>
    <row r="224" spans="1:7" s="47" customFormat="1" ht="15">
      <c r="A224" s="185"/>
      <c r="B224" s="13"/>
      <c r="C224" s="22"/>
      <c r="D224" s="22"/>
      <c r="E224" s="162"/>
      <c r="F224" s="46"/>
      <c r="G224" s="15"/>
    </row>
    <row r="225" spans="1:7" s="47" customFormat="1" ht="15">
      <c r="A225" s="185" t="s">
        <v>202</v>
      </c>
      <c r="B225" s="23"/>
      <c r="C225" s="29" t="s">
        <v>206</v>
      </c>
      <c r="D225" s="24"/>
      <c r="E225" s="161"/>
      <c r="F225" s="24"/>
      <c r="G225" s="25"/>
    </row>
    <row r="226" spans="1:7" s="47" customFormat="1" ht="72">
      <c r="A226" s="185"/>
      <c r="B226" s="23"/>
      <c r="C226" s="29" t="s">
        <v>191</v>
      </c>
      <c r="D226" s="24"/>
      <c r="E226" s="161"/>
      <c r="F226" s="24"/>
      <c r="G226" s="25"/>
    </row>
    <row r="227" spans="1:7" s="47" customFormat="1" ht="15">
      <c r="A227" s="185"/>
      <c r="B227" s="23" t="s">
        <v>39</v>
      </c>
      <c r="C227" s="92">
        <v>1</v>
      </c>
      <c r="D227" s="24"/>
      <c r="E227" s="161"/>
      <c r="F227" s="24"/>
      <c r="G227" s="25"/>
    </row>
    <row r="228" spans="1:7" s="47" customFormat="1" ht="15">
      <c r="A228" s="185"/>
      <c r="B228" s="23"/>
      <c r="C228" s="318" t="str">
        <f>"UKUPNO: "&amp;C229&amp;" kom."</f>
        <v>UKUPNO: 1 kom.</v>
      </c>
      <c r="D228" s="24"/>
      <c r="E228" s="161"/>
      <c r="F228" s="24"/>
      <c r="G228" s="25"/>
    </row>
    <row r="229" spans="1:7" s="47" customFormat="1" ht="15">
      <c r="A229" s="185"/>
      <c r="B229" s="13" t="s">
        <v>4</v>
      </c>
      <c r="C229" s="22">
        <f>SUM(C227)</f>
        <v>1</v>
      </c>
      <c r="D229" s="22" t="s">
        <v>135</v>
      </c>
      <c r="E229" s="162"/>
      <c r="F229" s="46" t="s">
        <v>6</v>
      </c>
      <c r="G229" s="15">
        <f>C229*E229</f>
        <v>0</v>
      </c>
    </row>
    <row r="230" spans="1:7" ht="12" customHeight="1">
      <c r="A230" s="223"/>
      <c r="B230" s="225"/>
      <c r="C230" s="242"/>
      <c r="D230" s="226"/>
      <c r="E230" s="227"/>
      <c r="F230" s="228"/>
      <c r="G230" s="229"/>
    </row>
    <row r="231" spans="1:7" ht="15">
      <c r="A231" s="185" t="s">
        <v>203</v>
      </c>
      <c r="B231" s="23"/>
      <c r="C231" s="29" t="s">
        <v>208</v>
      </c>
      <c r="D231" s="24"/>
      <c r="E231" s="161"/>
      <c r="F231" s="24"/>
      <c r="G231" s="25"/>
    </row>
    <row r="232" spans="1:7" ht="72">
      <c r="A232" s="185"/>
      <c r="B232" s="23"/>
      <c r="C232" s="29" t="s">
        <v>191</v>
      </c>
      <c r="D232" s="24"/>
      <c r="E232" s="161"/>
      <c r="F232" s="24"/>
      <c r="G232" s="25"/>
    </row>
    <row r="233" spans="1:7" ht="15">
      <c r="A233" s="185"/>
      <c r="B233" s="23" t="s">
        <v>39</v>
      </c>
      <c r="C233" s="92">
        <v>1</v>
      </c>
      <c r="D233" s="24"/>
      <c r="E233" s="161"/>
      <c r="F233" s="24"/>
      <c r="G233" s="25"/>
    </row>
    <row r="234" spans="1:7" s="44" customFormat="1" ht="15">
      <c r="A234" s="185"/>
      <c r="B234" s="23"/>
      <c r="C234" s="318" t="str">
        <f>"UKUPNO: "&amp;C235&amp;" kom."</f>
        <v>UKUPNO: 1 kom.</v>
      </c>
      <c r="D234" s="24"/>
      <c r="E234" s="161"/>
      <c r="F234" s="24"/>
      <c r="G234" s="25"/>
    </row>
    <row r="235" spans="1:7" s="47" customFormat="1" ht="15">
      <c r="A235" s="185"/>
      <c r="B235" s="13" t="s">
        <v>4</v>
      </c>
      <c r="C235" s="22">
        <f>SUM(C233:C233)</f>
        <v>1</v>
      </c>
      <c r="D235" s="22" t="s">
        <v>95</v>
      </c>
      <c r="E235" s="162"/>
      <c r="F235" s="46" t="s">
        <v>6</v>
      </c>
      <c r="G235" s="15">
        <f>C235*E235</f>
        <v>0</v>
      </c>
    </row>
    <row r="236" spans="1:7" ht="15">
      <c r="A236" s="223"/>
      <c r="B236" s="225"/>
      <c r="C236" s="242"/>
      <c r="D236" s="226"/>
      <c r="E236" s="227"/>
      <c r="F236" s="228"/>
      <c r="G236" s="229"/>
    </row>
    <row r="237" spans="1:7" ht="30">
      <c r="A237" s="185" t="s">
        <v>204</v>
      </c>
      <c r="B237" s="23"/>
      <c r="C237" s="29" t="s">
        <v>209</v>
      </c>
      <c r="D237" s="24"/>
      <c r="E237" s="161"/>
      <c r="F237" s="24"/>
      <c r="G237" s="25"/>
    </row>
    <row r="238" spans="1:7" ht="72">
      <c r="A238" s="185"/>
      <c r="B238" s="23"/>
      <c r="C238" s="29" t="s">
        <v>191</v>
      </c>
      <c r="D238" s="24"/>
      <c r="E238" s="161"/>
      <c r="F238" s="24"/>
      <c r="G238" s="25"/>
    </row>
    <row r="239" spans="1:7" ht="15">
      <c r="A239" s="22"/>
      <c r="B239" s="23" t="s">
        <v>39</v>
      </c>
      <c r="C239" s="92">
        <v>1</v>
      </c>
      <c r="D239" s="24"/>
      <c r="E239" s="161"/>
      <c r="F239" s="24"/>
      <c r="G239" s="25"/>
    </row>
    <row r="240" spans="1:7" s="44" customFormat="1" ht="15">
      <c r="A240" s="22"/>
      <c r="B240" s="23"/>
      <c r="C240" s="318" t="str">
        <f>"UKUPNO: "&amp;C241&amp;" kom."</f>
        <v>UKUPNO: 1 kom.</v>
      </c>
      <c r="D240" s="24"/>
      <c r="E240" s="161"/>
      <c r="F240" s="24"/>
      <c r="G240" s="25"/>
    </row>
    <row r="241" spans="1:7" s="47" customFormat="1" ht="15">
      <c r="A241" s="45"/>
      <c r="B241" s="13" t="s">
        <v>4</v>
      </c>
      <c r="C241" s="22">
        <f>SUM(C239)</f>
        <v>1</v>
      </c>
      <c r="D241" s="22" t="s">
        <v>95</v>
      </c>
      <c r="E241" s="162"/>
      <c r="F241" s="46" t="s">
        <v>6</v>
      </c>
      <c r="G241" s="15">
        <f>C241*E241</f>
        <v>0</v>
      </c>
    </row>
    <row r="242" spans="1:7" s="47" customFormat="1" ht="10.5" customHeight="1">
      <c r="A242" s="45"/>
      <c r="B242" s="13"/>
      <c r="C242" s="22"/>
      <c r="D242" s="22"/>
      <c r="E242" s="162"/>
      <c r="F242" s="46"/>
      <c r="G242" s="15"/>
    </row>
    <row r="243" spans="1:7" s="47" customFormat="1" ht="30">
      <c r="A243" s="185" t="s">
        <v>205</v>
      </c>
      <c r="B243" s="23"/>
      <c r="C243" s="29" t="s">
        <v>210</v>
      </c>
      <c r="D243" s="24"/>
      <c r="E243" s="161"/>
      <c r="F243" s="24"/>
      <c r="G243" s="25"/>
    </row>
    <row r="244" spans="1:7" s="47" customFormat="1" ht="72">
      <c r="A244" s="185"/>
      <c r="B244" s="23"/>
      <c r="C244" s="29" t="s">
        <v>191</v>
      </c>
      <c r="D244" s="24"/>
      <c r="E244" s="161"/>
      <c r="F244" s="24"/>
      <c r="G244" s="25"/>
    </row>
    <row r="245" spans="1:7" s="47" customFormat="1" ht="15">
      <c r="A245" s="22"/>
      <c r="B245" s="23" t="s">
        <v>39</v>
      </c>
      <c r="C245" s="92">
        <v>1</v>
      </c>
      <c r="D245" s="24"/>
      <c r="E245" s="161"/>
      <c r="F245" s="24"/>
      <c r="G245" s="25"/>
    </row>
    <row r="246" spans="1:7" s="47" customFormat="1" ht="15">
      <c r="A246" s="22"/>
      <c r="B246" s="23"/>
      <c r="C246" s="318" t="str">
        <f>"UKUPNO: "&amp;C247&amp;" kom."</f>
        <v>UKUPNO: 1 kom.</v>
      </c>
      <c r="D246" s="24"/>
      <c r="E246" s="161"/>
      <c r="F246" s="24"/>
      <c r="G246" s="25"/>
    </row>
    <row r="247" spans="1:7" s="47" customFormat="1" ht="15">
      <c r="A247" s="45"/>
      <c r="B247" s="13" t="s">
        <v>4</v>
      </c>
      <c r="C247" s="22">
        <f>SUM(C245)</f>
        <v>1</v>
      </c>
      <c r="D247" s="22" t="s">
        <v>95</v>
      </c>
      <c r="E247" s="162"/>
      <c r="F247" s="46" t="s">
        <v>6</v>
      </c>
      <c r="G247" s="15">
        <f>C247*E247</f>
        <v>0</v>
      </c>
    </row>
    <row r="248" spans="1:7" s="47" customFormat="1" ht="15">
      <c r="A248" s="45"/>
      <c r="B248" s="13"/>
      <c r="C248" s="22"/>
      <c r="D248" s="22"/>
      <c r="E248" s="162"/>
      <c r="F248" s="46"/>
      <c r="G248" s="15"/>
    </row>
    <row r="249" spans="1:7" s="47" customFormat="1" ht="30">
      <c r="A249" s="185" t="s">
        <v>207</v>
      </c>
      <c r="B249" s="23"/>
      <c r="C249" s="29" t="s">
        <v>344</v>
      </c>
      <c r="D249" s="24"/>
      <c r="E249" s="161"/>
      <c r="F249" s="24"/>
      <c r="G249" s="25"/>
    </row>
    <row r="250" spans="1:7" s="47" customFormat="1" ht="72">
      <c r="A250" s="185"/>
      <c r="B250" s="23"/>
      <c r="C250" s="29" t="s">
        <v>191</v>
      </c>
      <c r="D250" s="24"/>
      <c r="E250" s="161"/>
      <c r="F250" s="24"/>
      <c r="G250" s="25"/>
    </row>
    <row r="251" spans="1:7" s="47" customFormat="1" ht="15">
      <c r="A251" s="22"/>
      <c r="B251" s="23" t="s">
        <v>39</v>
      </c>
      <c r="C251" s="92">
        <v>1</v>
      </c>
      <c r="D251" s="24"/>
      <c r="E251" s="161"/>
      <c r="F251" s="24"/>
      <c r="G251" s="25"/>
    </row>
    <row r="252" spans="1:7" s="47" customFormat="1" ht="15">
      <c r="A252" s="22"/>
      <c r="B252" s="23"/>
      <c r="C252" s="318" t="str">
        <f>"UKUPNO: "&amp;C253&amp;" kom."</f>
        <v>UKUPNO: 1 kom.</v>
      </c>
      <c r="D252" s="24"/>
      <c r="E252" s="161"/>
      <c r="F252" s="24"/>
      <c r="G252" s="25"/>
    </row>
    <row r="253" spans="1:7" s="47" customFormat="1" ht="15">
      <c r="A253" s="45"/>
      <c r="B253" s="13" t="s">
        <v>4</v>
      </c>
      <c r="C253" s="22">
        <f>SUM(C251)</f>
        <v>1</v>
      </c>
      <c r="D253" s="22" t="s">
        <v>95</v>
      </c>
      <c r="E253" s="162"/>
      <c r="F253" s="46" t="s">
        <v>6</v>
      </c>
      <c r="G253" s="15">
        <f>C253*E253</f>
        <v>0</v>
      </c>
    </row>
    <row r="254" spans="1:7" ht="15">
      <c r="A254" s="224"/>
      <c r="B254" s="225"/>
      <c r="C254" s="242"/>
      <c r="D254" s="226"/>
      <c r="E254" s="227"/>
      <c r="F254" s="228"/>
      <c r="G254" s="229"/>
    </row>
    <row r="255" spans="1:7" ht="15">
      <c r="A255" s="185" t="s">
        <v>144</v>
      </c>
      <c r="B255" s="23"/>
      <c r="C255" s="19" t="s">
        <v>69</v>
      </c>
      <c r="D255" s="24"/>
      <c r="E255" s="161"/>
      <c r="F255" s="24"/>
      <c r="G255" s="25"/>
    </row>
    <row r="256" spans="1:7" ht="15">
      <c r="A256" s="22" t="s">
        <v>145</v>
      </c>
      <c r="B256" s="23"/>
      <c r="C256" s="29" t="s">
        <v>217</v>
      </c>
      <c r="D256" s="24"/>
      <c r="E256" s="161"/>
      <c r="F256" s="24"/>
      <c r="G256" s="25"/>
    </row>
    <row r="257" spans="1:7" ht="72">
      <c r="A257" s="22"/>
      <c r="B257" s="23"/>
      <c r="C257" s="29" t="s">
        <v>191</v>
      </c>
      <c r="D257" s="24"/>
      <c r="E257" s="161"/>
      <c r="F257" s="24"/>
      <c r="G257" s="25"/>
    </row>
    <row r="258" spans="1:7" ht="15">
      <c r="A258" s="22"/>
      <c r="B258" s="23" t="s">
        <v>39</v>
      </c>
      <c r="C258" s="92">
        <v>1</v>
      </c>
      <c r="D258" s="24"/>
      <c r="E258" s="161"/>
      <c r="F258" s="24"/>
      <c r="G258" s="25"/>
    </row>
    <row r="259" spans="1:7" s="44" customFormat="1" ht="15">
      <c r="A259" s="22"/>
      <c r="B259" s="23"/>
      <c r="C259" s="318" t="str">
        <f>"UKUPNO: "&amp;C260&amp;" kom."</f>
        <v>UKUPNO: 1 kom.</v>
      </c>
      <c r="D259" s="24"/>
      <c r="E259" s="161"/>
      <c r="F259" s="24"/>
      <c r="G259" s="25"/>
    </row>
    <row r="260" spans="1:7" s="47" customFormat="1" ht="15">
      <c r="A260" s="45"/>
      <c r="B260" s="13" t="s">
        <v>4</v>
      </c>
      <c r="C260" s="22">
        <f>SUM(C258)</f>
        <v>1</v>
      </c>
      <c r="D260" s="22" t="s">
        <v>95</v>
      </c>
      <c r="E260" s="162"/>
      <c r="F260" s="46" t="s">
        <v>6</v>
      </c>
      <c r="G260" s="15">
        <f>C260*E260</f>
        <v>0</v>
      </c>
    </row>
    <row r="261" spans="1:7" s="47" customFormat="1" ht="15">
      <c r="A261" s="45"/>
      <c r="B261" s="13"/>
      <c r="C261" s="22"/>
      <c r="D261" s="22"/>
      <c r="E261" s="162"/>
      <c r="F261" s="46"/>
      <c r="G261" s="15"/>
    </row>
    <row r="262" spans="1:7" s="47" customFormat="1" ht="15">
      <c r="A262" s="22" t="s">
        <v>148</v>
      </c>
      <c r="B262" s="23"/>
      <c r="C262" s="29" t="s">
        <v>354</v>
      </c>
      <c r="D262" s="24"/>
      <c r="E262" s="161"/>
      <c r="F262" s="24"/>
      <c r="G262" s="25"/>
    </row>
    <row r="263" spans="1:7" s="47" customFormat="1" ht="72">
      <c r="A263" s="22"/>
      <c r="B263" s="23"/>
      <c r="C263" s="29" t="s">
        <v>191</v>
      </c>
      <c r="D263" s="24"/>
      <c r="E263" s="161"/>
      <c r="F263" s="24"/>
      <c r="G263" s="25"/>
    </row>
    <row r="264" spans="1:7" s="47" customFormat="1" ht="15">
      <c r="A264" s="22"/>
      <c r="B264" s="23" t="s">
        <v>39</v>
      </c>
      <c r="C264" s="92">
        <v>3</v>
      </c>
      <c r="D264" s="24"/>
      <c r="E264" s="161"/>
      <c r="F264" s="24"/>
      <c r="G264" s="25"/>
    </row>
    <row r="265" spans="1:7" s="47" customFormat="1" ht="15">
      <c r="A265" s="22"/>
      <c r="B265" s="23"/>
      <c r="C265" s="318" t="str">
        <f t="shared" ref="C265" si="0">"UKUPNO: "&amp;C266&amp;" kom."</f>
        <v>UKUPNO: 3 kom.</v>
      </c>
      <c r="D265" s="24"/>
      <c r="E265" s="161"/>
      <c r="F265" s="24"/>
      <c r="G265" s="25"/>
    </row>
    <row r="266" spans="1:7" s="47" customFormat="1" ht="15">
      <c r="A266" s="45"/>
      <c r="B266" s="13" t="s">
        <v>4</v>
      </c>
      <c r="C266" s="22">
        <v>3</v>
      </c>
      <c r="D266" s="22" t="s">
        <v>95</v>
      </c>
      <c r="E266" s="162"/>
      <c r="F266" s="46" t="s">
        <v>6</v>
      </c>
      <c r="G266" s="15">
        <f t="shared" ref="G266" si="1">C266*E266</f>
        <v>0</v>
      </c>
    </row>
    <row r="267" spans="1:7" s="47" customFormat="1" ht="15">
      <c r="A267" s="45"/>
      <c r="B267" s="13"/>
      <c r="C267" s="22"/>
      <c r="D267" s="22"/>
      <c r="E267" s="162"/>
      <c r="F267" s="46"/>
      <c r="G267" s="15"/>
    </row>
    <row r="268" spans="1:7" s="47" customFormat="1" ht="15">
      <c r="A268" s="22" t="s">
        <v>146</v>
      </c>
      <c r="B268" s="23"/>
      <c r="C268" s="29" t="s">
        <v>355</v>
      </c>
      <c r="D268" s="24"/>
      <c r="E268" s="161"/>
      <c r="F268" s="24"/>
      <c r="G268" s="25"/>
    </row>
    <row r="269" spans="1:7" s="47" customFormat="1" ht="72">
      <c r="A269" s="22"/>
      <c r="B269" s="23"/>
      <c r="C269" s="29" t="s">
        <v>191</v>
      </c>
      <c r="D269" s="24"/>
      <c r="E269" s="161"/>
      <c r="F269" s="24"/>
      <c r="G269" s="25"/>
    </row>
    <row r="270" spans="1:7" s="47" customFormat="1" ht="15">
      <c r="A270" s="22"/>
      <c r="B270" s="23" t="s">
        <v>39</v>
      </c>
      <c r="C270" s="92">
        <v>3</v>
      </c>
      <c r="D270" s="24"/>
      <c r="E270" s="161"/>
      <c r="F270" s="24"/>
      <c r="G270" s="25"/>
    </row>
    <row r="271" spans="1:7" s="47" customFormat="1" ht="15">
      <c r="A271" s="22"/>
      <c r="B271" s="23"/>
      <c r="C271" s="318" t="str">
        <f t="shared" ref="C271" si="2">"UKUPNO: "&amp;C272&amp;" kom."</f>
        <v>UKUPNO: 3 kom.</v>
      </c>
      <c r="D271" s="24"/>
      <c r="E271" s="161"/>
      <c r="F271" s="24"/>
      <c r="G271" s="25"/>
    </row>
    <row r="272" spans="1:7" s="47" customFormat="1" ht="15">
      <c r="A272" s="45"/>
      <c r="B272" s="13" t="s">
        <v>4</v>
      </c>
      <c r="C272" s="22">
        <v>3</v>
      </c>
      <c r="D272" s="22" t="s">
        <v>95</v>
      </c>
      <c r="E272" s="162"/>
      <c r="F272" s="46" t="s">
        <v>6</v>
      </c>
      <c r="G272" s="15">
        <f t="shared" ref="G272" si="3">C272*E272</f>
        <v>0</v>
      </c>
    </row>
    <row r="273" spans="1:7" ht="15">
      <c r="A273" s="224"/>
      <c r="B273" s="225"/>
      <c r="C273" s="242"/>
      <c r="D273" s="226"/>
      <c r="E273" s="227"/>
      <c r="F273" s="228"/>
      <c r="G273" s="229"/>
    </row>
    <row r="274" spans="1:7" ht="15">
      <c r="A274" s="185" t="s">
        <v>147</v>
      </c>
      <c r="B274" s="23"/>
      <c r="C274" s="29" t="s">
        <v>218</v>
      </c>
      <c r="D274" s="24"/>
      <c r="E274" s="161"/>
      <c r="F274" s="24"/>
      <c r="G274" s="25"/>
    </row>
    <row r="275" spans="1:7" ht="72">
      <c r="A275" s="22"/>
      <c r="B275" s="23"/>
      <c r="C275" s="29" t="s">
        <v>191</v>
      </c>
      <c r="D275" s="24"/>
      <c r="E275" s="161"/>
      <c r="F275" s="24"/>
      <c r="G275" s="25"/>
    </row>
    <row r="276" spans="1:7" ht="15">
      <c r="A276" s="22"/>
      <c r="B276" s="23" t="s">
        <v>39</v>
      </c>
      <c r="C276" s="92">
        <v>1</v>
      </c>
      <c r="D276" s="24"/>
      <c r="E276" s="161"/>
      <c r="F276" s="24"/>
      <c r="G276" s="25"/>
    </row>
    <row r="277" spans="1:7" s="44" customFormat="1" ht="15">
      <c r="A277" s="22"/>
      <c r="B277" s="23"/>
      <c r="C277" s="318" t="str">
        <f>"UKUPNO: "&amp;C278&amp;" kom."</f>
        <v>UKUPNO: 1 kom.</v>
      </c>
      <c r="D277" s="24"/>
      <c r="E277" s="161"/>
      <c r="F277" s="24"/>
      <c r="G277" s="25"/>
    </row>
    <row r="278" spans="1:7" s="47" customFormat="1" ht="15">
      <c r="A278" s="45"/>
      <c r="B278" s="13" t="s">
        <v>4</v>
      </c>
      <c r="C278" s="22">
        <f>SUM(C276:C276)</f>
        <v>1</v>
      </c>
      <c r="D278" s="22" t="s">
        <v>95</v>
      </c>
      <c r="E278" s="162"/>
      <c r="F278" s="46" t="s">
        <v>6</v>
      </c>
      <c r="G278" s="15">
        <f>C278*E278</f>
        <v>0</v>
      </c>
    </row>
    <row r="279" spans="1:7" s="47" customFormat="1" ht="15">
      <c r="A279" s="45"/>
      <c r="B279" s="13"/>
      <c r="C279" s="22"/>
      <c r="D279" s="22"/>
      <c r="E279" s="162"/>
      <c r="F279" s="46"/>
      <c r="G279" s="15"/>
    </row>
    <row r="280" spans="1:7" s="47" customFormat="1" ht="15">
      <c r="A280" s="185" t="s">
        <v>162</v>
      </c>
      <c r="B280" s="23"/>
      <c r="C280" s="29" t="s">
        <v>219</v>
      </c>
      <c r="D280" s="24"/>
      <c r="E280" s="161"/>
      <c r="F280" s="24"/>
      <c r="G280" s="25"/>
    </row>
    <row r="281" spans="1:7" s="47" customFormat="1" ht="72">
      <c r="A281" s="22"/>
      <c r="B281" s="23"/>
      <c r="C281" s="29" t="s">
        <v>191</v>
      </c>
      <c r="D281" s="24"/>
      <c r="E281" s="161"/>
      <c r="F281" s="24"/>
      <c r="G281" s="25"/>
    </row>
    <row r="282" spans="1:7" s="47" customFormat="1" ht="15">
      <c r="A282" s="22"/>
      <c r="B282" s="23" t="s">
        <v>39</v>
      </c>
      <c r="C282" s="92">
        <v>1</v>
      </c>
      <c r="D282" s="24"/>
      <c r="E282" s="161"/>
      <c r="F282" s="24"/>
      <c r="G282" s="25"/>
    </row>
    <row r="283" spans="1:7" s="47" customFormat="1" ht="15">
      <c r="A283" s="22"/>
      <c r="B283" s="23"/>
      <c r="C283" s="318" t="str">
        <f>"UKUPNO: "&amp;C284&amp;" kom."</f>
        <v>UKUPNO: 1 kom.</v>
      </c>
      <c r="D283" s="24"/>
      <c r="E283" s="161"/>
      <c r="F283" s="24"/>
      <c r="G283" s="25"/>
    </row>
    <row r="284" spans="1:7" s="47" customFormat="1" ht="15">
      <c r="A284" s="45"/>
      <c r="B284" s="13" t="s">
        <v>4</v>
      </c>
      <c r="C284" s="22">
        <f>SUM(C282:C282)</f>
        <v>1</v>
      </c>
      <c r="D284" s="22" t="s">
        <v>95</v>
      </c>
      <c r="E284" s="162"/>
      <c r="F284" s="46" t="s">
        <v>6</v>
      </c>
      <c r="G284" s="15">
        <f>C284*E284</f>
        <v>0</v>
      </c>
    </row>
    <row r="285" spans="1:7" ht="15">
      <c r="A285" s="224"/>
      <c r="B285" s="225"/>
      <c r="C285" s="242"/>
      <c r="D285" s="226"/>
      <c r="E285" s="227"/>
      <c r="F285" s="228"/>
      <c r="G285" s="229"/>
    </row>
    <row r="286" spans="1:7" ht="203.25" customHeight="1">
      <c r="A286" s="185" t="s">
        <v>163</v>
      </c>
      <c r="B286" s="23"/>
      <c r="C286" s="29" t="s">
        <v>352</v>
      </c>
      <c r="D286" s="24"/>
      <c r="E286" s="161"/>
      <c r="F286" s="24"/>
      <c r="G286" s="25"/>
    </row>
    <row r="287" spans="1:7" ht="72">
      <c r="A287" s="22"/>
      <c r="B287" s="23"/>
      <c r="C287" s="29" t="s">
        <v>191</v>
      </c>
      <c r="D287" s="24"/>
      <c r="E287" s="161"/>
      <c r="F287" s="24"/>
      <c r="G287" s="25"/>
    </row>
    <row r="288" spans="1:7" ht="15">
      <c r="A288" s="22"/>
      <c r="B288" s="23" t="s">
        <v>39</v>
      </c>
      <c r="C288" s="92">
        <v>2</v>
      </c>
      <c r="D288" s="24"/>
      <c r="E288" s="161"/>
      <c r="F288" s="24"/>
      <c r="G288" s="25"/>
    </row>
    <row r="289" spans="1:7" s="44" customFormat="1" ht="15">
      <c r="A289" s="22"/>
      <c r="B289" s="23"/>
      <c r="C289" s="318" t="str">
        <f>"UKUPNO: "&amp;C290&amp;" kom."</f>
        <v>UKUPNO: 2 kom.</v>
      </c>
      <c r="D289" s="24"/>
      <c r="E289" s="161"/>
      <c r="F289" s="24"/>
      <c r="G289" s="25"/>
    </row>
    <row r="290" spans="1:7" s="47" customFormat="1" ht="15">
      <c r="A290" s="45"/>
      <c r="B290" s="13" t="s">
        <v>4</v>
      </c>
      <c r="C290" s="22">
        <v>2</v>
      </c>
      <c r="D290" s="22" t="s">
        <v>95</v>
      </c>
      <c r="E290" s="162"/>
      <c r="F290" s="46" t="s">
        <v>6</v>
      </c>
      <c r="G290" s="15">
        <f>C290*E290</f>
        <v>0</v>
      </c>
    </row>
    <row r="291" spans="1:7" ht="12.75" customHeight="1">
      <c r="A291" s="1"/>
      <c r="B291" s="13"/>
      <c r="C291" s="27"/>
      <c r="D291" s="7"/>
      <c r="E291" s="162"/>
      <c r="F291" s="14"/>
      <c r="G291" s="66"/>
    </row>
    <row r="292" spans="1:7" ht="29.25">
      <c r="A292" s="185" t="s">
        <v>221</v>
      </c>
      <c r="B292" s="23"/>
      <c r="C292" s="29" t="s">
        <v>353</v>
      </c>
      <c r="D292" s="24"/>
      <c r="E292" s="161"/>
      <c r="F292" s="24"/>
      <c r="G292" s="25"/>
    </row>
    <row r="293" spans="1:7" ht="72">
      <c r="A293" s="22"/>
      <c r="B293" s="23"/>
      <c r="C293" s="29" t="s">
        <v>191</v>
      </c>
      <c r="D293" s="24"/>
      <c r="E293" s="161"/>
      <c r="F293" s="24"/>
      <c r="G293" s="25"/>
    </row>
    <row r="294" spans="1:7" ht="15">
      <c r="A294" s="22"/>
      <c r="B294" s="23" t="s">
        <v>39</v>
      </c>
      <c r="C294" s="92">
        <v>3</v>
      </c>
      <c r="D294" s="24"/>
      <c r="E294" s="161"/>
      <c r="F294" s="24"/>
      <c r="G294" s="25"/>
    </row>
    <row r="295" spans="1:7" s="44" customFormat="1" ht="15">
      <c r="A295" s="22"/>
      <c r="B295" s="23"/>
      <c r="C295" s="318" t="str">
        <f>"UKUPNO: "&amp;C296&amp;" kom."</f>
        <v>UKUPNO: 3 kom.</v>
      </c>
      <c r="D295" s="24"/>
      <c r="E295" s="161"/>
      <c r="F295" s="24"/>
      <c r="G295" s="25"/>
    </row>
    <row r="296" spans="1:7" s="47" customFormat="1" ht="15">
      <c r="A296" s="45"/>
      <c r="B296" s="13" t="s">
        <v>4</v>
      </c>
      <c r="C296" s="22">
        <v>3</v>
      </c>
      <c r="D296" s="22" t="s">
        <v>95</v>
      </c>
      <c r="E296" s="162"/>
      <c r="F296" s="46" t="s">
        <v>6</v>
      </c>
      <c r="G296" s="15">
        <f>C296*E296</f>
        <v>0</v>
      </c>
    </row>
    <row r="297" spans="1:7" s="47" customFormat="1" ht="15">
      <c r="A297" s="45"/>
      <c r="B297" s="13"/>
      <c r="C297" s="245"/>
      <c r="D297" s="22"/>
      <c r="E297" s="162"/>
      <c r="F297" s="46"/>
      <c r="G297" s="15"/>
    </row>
    <row r="298" spans="1:7" s="47" customFormat="1" ht="271.5" customHeight="1">
      <c r="A298" s="185" t="s">
        <v>347</v>
      </c>
      <c r="B298" s="13"/>
      <c r="C298" s="431" t="s">
        <v>346</v>
      </c>
      <c r="D298" s="22"/>
      <c r="E298" s="162"/>
      <c r="F298" s="46"/>
      <c r="G298" s="15"/>
    </row>
    <row r="299" spans="1:7" s="47" customFormat="1" ht="93.75" customHeight="1">
      <c r="A299" s="45"/>
      <c r="B299" s="13"/>
      <c r="C299" s="431" t="s">
        <v>348</v>
      </c>
      <c r="D299" s="22"/>
      <c r="E299" s="162"/>
      <c r="F299" s="46"/>
      <c r="G299" s="15"/>
    </row>
    <row r="300" spans="1:7" s="47" customFormat="1" ht="72">
      <c r="A300" s="22"/>
      <c r="B300" s="23"/>
      <c r="C300" s="29" t="s">
        <v>191</v>
      </c>
      <c r="D300" s="24"/>
      <c r="E300" s="161"/>
      <c r="F300" s="24"/>
      <c r="G300" s="25"/>
    </row>
    <row r="301" spans="1:7" s="47" customFormat="1" ht="15">
      <c r="A301" s="22"/>
      <c r="B301" s="23" t="s">
        <v>39</v>
      </c>
      <c r="C301" s="92">
        <v>1</v>
      </c>
      <c r="D301" s="24"/>
      <c r="E301" s="161"/>
      <c r="F301" s="24"/>
      <c r="G301" s="25"/>
    </row>
    <row r="302" spans="1:7" s="47" customFormat="1" ht="15">
      <c r="A302" s="22"/>
      <c r="B302" s="23"/>
      <c r="C302" s="318" t="str">
        <f>"UKUPNO: "&amp;C303&amp;" kom."</f>
        <v>UKUPNO: 1 kom.</v>
      </c>
      <c r="D302" s="24"/>
      <c r="E302" s="161"/>
      <c r="F302" s="24"/>
      <c r="G302" s="25"/>
    </row>
    <row r="303" spans="1:7" s="47" customFormat="1" ht="15">
      <c r="A303" s="45"/>
      <c r="B303" s="13" t="s">
        <v>4</v>
      </c>
      <c r="C303" s="22">
        <v>1</v>
      </c>
      <c r="D303" s="22" t="s">
        <v>95</v>
      </c>
      <c r="E303" s="162"/>
      <c r="F303" s="46" t="s">
        <v>6</v>
      </c>
      <c r="G303" s="15">
        <f>C303*E303</f>
        <v>0</v>
      </c>
    </row>
    <row r="304" spans="1:7" s="47" customFormat="1" ht="15">
      <c r="A304" s="45"/>
      <c r="B304" s="13"/>
      <c r="C304" s="22"/>
      <c r="D304" s="22"/>
      <c r="E304" s="162"/>
      <c r="F304" s="46"/>
      <c r="G304" s="15"/>
    </row>
    <row r="305" spans="1:7" s="47" customFormat="1" ht="87">
      <c r="A305" s="22" t="s">
        <v>41</v>
      </c>
      <c r="B305" s="23"/>
      <c r="C305" s="9" t="s">
        <v>223</v>
      </c>
      <c r="D305" s="24"/>
      <c r="E305" s="94"/>
      <c r="F305" s="24"/>
      <c r="G305" s="25"/>
    </row>
    <row r="306" spans="1:7" s="47" customFormat="1" ht="29.25">
      <c r="A306" s="22" t="s">
        <v>60</v>
      </c>
      <c r="B306" s="23"/>
      <c r="C306" s="29" t="s">
        <v>222</v>
      </c>
      <c r="D306" s="24"/>
      <c r="E306" s="94"/>
      <c r="F306" s="24"/>
      <c r="G306" s="25"/>
    </row>
    <row r="307" spans="1:7" s="47" customFormat="1" ht="72">
      <c r="A307" s="22"/>
      <c r="B307" s="23"/>
      <c r="C307" s="29" t="s">
        <v>191</v>
      </c>
      <c r="D307" s="24"/>
      <c r="E307" s="94"/>
      <c r="F307" s="24"/>
      <c r="G307" s="25"/>
    </row>
    <row r="308" spans="1:7" s="47" customFormat="1" ht="15">
      <c r="A308" s="22"/>
      <c r="B308" s="16"/>
      <c r="C308" s="92">
        <v>1</v>
      </c>
      <c r="D308" s="24"/>
      <c r="E308" s="94"/>
      <c r="F308" s="24"/>
      <c r="G308" s="25"/>
    </row>
    <row r="309" spans="1:7" s="47" customFormat="1" ht="15">
      <c r="A309" s="22"/>
      <c r="B309" s="23"/>
      <c r="C309" s="318" t="str">
        <f>"UKUPNO: "&amp;C310&amp;" kom."</f>
        <v>UKUPNO: 1 kom.</v>
      </c>
      <c r="D309" s="24"/>
      <c r="E309" s="94"/>
      <c r="F309" s="24"/>
      <c r="G309" s="25"/>
    </row>
    <row r="310" spans="1:7" s="47" customFormat="1" ht="15">
      <c r="A310" s="22"/>
      <c r="B310" s="13" t="s">
        <v>4</v>
      </c>
      <c r="C310" s="22">
        <f>SUM(C308:C308)</f>
        <v>1</v>
      </c>
      <c r="D310" s="22" t="s">
        <v>95</v>
      </c>
      <c r="E310" s="95"/>
      <c r="F310" s="46" t="s">
        <v>6</v>
      </c>
      <c r="G310" s="15">
        <f>C310*E310</f>
        <v>0</v>
      </c>
    </row>
    <row r="311" spans="1:7" s="47" customFormat="1" ht="15">
      <c r="A311" s="22"/>
      <c r="B311" s="13"/>
      <c r="C311" s="22"/>
      <c r="D311" s="22"/>
      <c r="E311" s="95"/>
      <c r="F311" s="46"/>
      <c r="G311" s="15"/>
    </row>
    <row r="312" spans="1:7" s="47" customFormat="1" ht="162.75">
      <c r="A312" s="22" t="s">
        <v>42</v>
      </c>
      <c r="B312" s="23"/>
      <c r="C312" s="9" t="s">
        <v>224</v>
      </c>
      <c r="D312" s="24"/>
      <c r="E312" s="94"/>
      <c r="F312" s="24"/>
      <c r="G312" s="25"/>
    </row>
    <row r="313" spans="1:7" s="47" customFormat="1" ht="20.25" customHeight="1">
      <c r="A313" s="336" t="s">
        <v>61</v>
      </c>
      <c r="B313" s="23"/>
      <c r="C313" s="335" t="s">
        <v>225</v>
      </c>
      <c r="D313" s="24"/>
      <c r="E313" s="94"/>
      <c r="F313" s="24"/>
      <c r="G313" s="25"/>
    </row>
    <row r="314" spans="1:7" s="47" customFormat="1" ht="72.75">
      <c r="A314" s="7"/>
      <c r="B314" s="13"/>
      <c r="C314" s="84" t="s">
        <v>33</v>
      </c>
      <c r="D314" s="7"/>
      <c r="E314" s="95"/>
      <c r="F314" s="14"/>
      <c r="G314" s="15"/>
    </row>
    <row r="315" spans="1:7" s="47" customFormat="1" ht="15">
      <c r="A315" s="22"/>
      <c r="B315" s="16"/>
      <c r="C315" s="92">
        <v>1</v>
      </c>
      <c r="D315" s="24"/>
      <c r="E315" s="94"/>
      <c r="F315" s="24"/>
      <c r="G315" s="25"/>
    </row>
    <row r="316" spans="1:7" s="47" customFormat="1" ht="15">
      <c r="A316" s="22"/>
      <c r="B316" s="23"/>
      <c r="C316" s="318" t="str">
        <f>"UKUPNO: "&amp;C317&amp;" kom."</f>
        <v>UKUPNO: 1 kom.</v>
      </c>
      <c r="D316" s="24"/>
      <c r="E316" s="94"/>
      <c r="F316" s="24"/>
      <c r="G316" s="25"/>
    </row>
    <row r="317" spans="1:7" s="47" customFormat="1" ht="15">
      <c r="A317" s="22"/>
      <c r="B317" s="13" t="s">
        <v>4</v>
      </c>
      <c r="C317" s="22">
        <f>SUM(C315:C315)</f>
        <v>1</v>
      </c>
      <c r="D317" s="22" t="s">
        <v>95</v>
      </c>
      <c r="E317" s="95"/>
      <c r="F317" s="46" t="s">
        <v>6</v>
      </c>
      <c r="G317" s="15">
        <f>C317*E317</f>
        <v>0</v>
      </c>
    </row>
    <row r="318" spans="1:7" ht="15">
      <c r="A318" s="224"/>
      <c r="B318" s="225"/>
      <c r="C318" s="242"/>
      <c r="D318" s="226"/>
      <c r="E318" s="227"/>
      <c r="F318" s="228"/>
      <c r="G318" s="229"/>
    </row>
    <row r="319" spans="1:7" ht="171.75">
      <c r="A319" s="185" t="s">
        <v>43</v>
      </c>
      <c r="B319" s="23"/>
      <c r="C319" s="9" t="s">
        <v>349</v>
      </c>
      <c r="D319" s="24"/>
      <c r="E319" s="161"/>
      <c r="F319" s="24"/>
      <c r="G319" s="25"/>
    </row>
    <row r="320" spans="1:7" ht="15">
      <c r="A320" s="185" t="s">
        <v>56</v>
      </c>
      <c r="B320" s="23"/>
      <c r="C320" s="19" t="s">
        <v>350</v>
      </c>
      <c r="D320" s="24"/>
      <c r="E320" s="161"/>
      <c r="F320" s="24"/>
      <c r="G320" s="25"/>
    </row>
    <row r="321" spans="1:7" ht="72.75">
      <c r="A321" s="1"/>
      <c r="B321" s="13"/>
      <c r="C321" s="84" t="s">
        <v>33</v>
      </c>
      <c r="D321" s="7"/>
      <c r="E321" s="162"/>
      <c r="F321" s="14"/>
      <c r="G321" s="15"/>
    </row>
    <row r="322" spans="1:7" ht="15">
      <c r="A322" s="22"/>
      <c r="B322" s="23" t="s">
        <v>39</v>
      </c>
      <c r="C322" s="92">
        <v>3</v>
      </c>
      <c r="D322" s="24"/>
      <c r="E322" s="161"/>
      <c r="F322" s="24"/>
      <c r="G322" s="25"/>
    </row>
    <row r="323" spans="1:7" s="44" customFormat="1" ht="15">
      <c r="A323" s="22"/>
      <c r="B323" s="23"/>
      <c r="C323" s="318" t="str">
        <f>"UKUPNO: "&amp;C324&amp;" kom."</f>
        <v>UKUPNO: 3 kom.</v>
      </c>
      <c r="D323" s="24"/>
      <c r="E323" s="161"/>
      <c r="F323" s="24"/>
      <c r="G323" s="25"/>
    </row>
    <row r="324" spans="1:7" s="47" customFormat="1" ht="15">
      <c r="A324" s="45"/>
      <c r="B324" s="13" t="s">
        <v>4</v>
      </c>
      <c r="C324" s="22">
        <v>3</v>
      </c>
      <c r="D324" s="22" t="s">
        <v>95</v>
      </c>
      <c r="E324" s="162"/>
      <c r="F324" s="46" t="s">
        <v>6</v>
      </c>
      <c r="G324" s="15">
        <f>C324*E324</f>
        <v>0</v>
      </c>
    </row>
    <row r="325" spans="1:7" s="47" customFormat="1" ht="15">
      <c r="A325" s="45"/>
      <c r="B325" s="13"/>
      <c r="C325" s="22"/>
      <c r="D325" s="22"/>
      <c r="E325" s="162"/>
      <c r="F325" s="46"/>
      <c r="G325" s="15"/>
    </row>
    <row r="326" spans="1:7" s="47" customFormat="1" ht="15">
      <c r="A326" s="185" t="s">
        <v>65</v>
      </c>
      <c r="B326" s="23"/>
      <c r="C326" s="19" t="s">
        <v>351</v>
      </c>
      <c r="D326" s="24"/>
      <c r="E326" s="161"/>
      <c r="F326" s="24"/>
      <c r="G326" s="25"/>
    </row>
    <row r="327" spans="1:7" s="47" customFormat="1" ht="72.75">
      <c r="A327" s="1"/>
      <c r="B327" s="13"/>
      <c r="C327" s="84" t="s">
        <v>33</v>
      </c>
      <c r="D327" s="7"/>
      <c r="E327" s="162"/>
      <c r="F327" s="14"/>
      <c r="G327" s="15"/>
    </row>
    <row r="328" spans="1:7" s="47" customFormat="1" ht="15">
      <c r="A328" s="22"/>
      <c r="B328" s="23" t="s">
        <v>39</v>
      </c>
      <c r="C328" s="92">
        <v>1</v>
      </c>
      <c r="D328" s="24"/>
      <c r="E328" s="161"/>
      <c r="F328" s="24"/>
      <c r="G328" s="25"/>
    </row>
    <row r="329" spans="1:7" s="47" customFormat="1" ht="15">
      <c r="A329" s="22"/>
      <c r="B329" s="23"/>
      <c r="C329" s="318" t="str">
        <f>"UKUPNO: "&amp;C330&amp;" kom."</f>
        <v>UKUPNO: 1 kom.</v>
      </c>
      <c r="D329" s="24"/>
      <c r="E329" s="161"/>
      <c r="F329" s="24"/>
      <c r="G329" s="25"/>
    </row>
    <row r="330" spans="1:7" s="47" customFormat="1" ht="15">
      <c r="A330" s="45"/>
      <c r="B330" s="13" t="s">
        <v>4</v>
      </c>
      <c r="C330" s="22">
        <v>1</v>
      </c>
      <c r="D330" s="22" t="s">
        <v>95</v>
      </c>
      <c r="E330" s="162"/>
      <c r="F330" s="46" t="s">
        <v>6</v>
      </c>
      <c r="G330" s="15">
        <f>C330*E330</f>
        <v>0</v>
      </c>
    </row>
    <row r="331" spans="1:7" s="47" customFormat="1" ht="15">
      <c r="A331" s="45"/>
      <c r="B331" s="13"/>
      <c r="C331" s="22"/>
      <c r="D331" s="22"/>
      <c r="E331" s="162"/>
      <c r="F331" s="46"/>
      <c r="G331" s="15"/>
    </row>
    <row r="332" spans="1:7" s="47" customFormat="1" ht="159">
      <c r="A332" s="22">
        <v>6</v>
      </c>
      <c r="B332" s="23"/>
      <c r="C332" s="9" t="s">
        <v>226</v>
      </c>
      <c r="D332" s="24"/>
      <c r="E332" s="94"/>
      <c r="F332" s="332"/>
      <c r="G332" s="25"/>
    </row>
    <row r="333" spans="1:7" s="47" customFormat="1" ht="72.75">
      <c r="A333" s="7"/>
      <c r="B333" s="13"/>
      <c r="C333" s="84" t="s">
        <v>33</v>
      </c>
      <c r="D333" s="7"/>
      <c r="E333" s="95"/>
      <c r="F333" s="14"/>
      <c r="G333" s="15"/>
    </row>
    <row r="334" spans="1:7" s="47" customFormat="1" ht="15">
      <c r="A334" s="22" t="s">
        <v>57</v>
      </c>
      <c r="B334" s="23"/>
      <c r="C334" s="19" t="s">
        <v>227</v>
      </c>
      <c r="D334" s="24"/>
      <c r="E334" s="94"/>
      <c r="F334" s="332"/>
      <c r="G334" s="25"/>
    </row>
    <row r="335" spans="1:7" s="47" customFormat="1" ht="15">
      <c r="A335" s="22"/>
      <c r="B335" s="16"/>
      <c r="C335" s="92">
        <v>6</v>
      </c>
      <c r="D335" s="24"/>
      <c r="E335" s="94"/>
      <c r="F335" s="332"/>
      <c r="G335" s="25"/>
    </row>
    <row r="336" spans="1:7" s="47" customFormat="1" ht="15">
      <c r="A336" s="22"/>
      <c r="B336" s="23"/>
      <c r="C336" s="318" t="str">
        <f>"UKUPNO: "&amp;C337&amp;" kom."</f>
        <v>UKUPNO: 6 kom.</v>
      </c>
      <c r="D336" s="24"/>
      <c r="E336" s="94"/>
      <c r="F336" s="332"/>
      <c r="G336" s="25"/>
    </row>
    <row r="337" spans="1:7" s="47" customFormat="1" ht="15">
      <c r="A337" s="22"/>
      <c r="B337" s="13" t="s">
        <v>4</v>
      </c>
      <c r="C337" s="22">
        <f>SUM(C335:C335)</f>
        <v>6</v>
      </c>
      <c r="D337" s="22" t="s">
        <v>95</v>
      </c>
      <c r="E337" s="95"/>
      <c r="F337" s="46" t="s">
        <v>6</v>
      </c>
      <c r="G337" s="15">
        <f>C337*E337</f>
        <v>0</v>
      </c>
    </row>
    <row r="338" spans="1:7" s="47" customFormat="1" ht="15">
      <c r="A338" s="226"/>
      <c r="B338" s="234"/>
      <c r="C338" s="220"/>
      <c r="D338" s="220"/>
      <c r="E338" s="333"/>
      <c r="F338" s="334"/>
      <c r="G338" s="222"/>
    </row>
    <row r="339" spans="1:7" s="47" customFormat="1" ht="15">
      <c r="A339" s="22" t="s">
        <v>58</v>
      </c>
      <c r="B339" s="23"/>
      <c r="C339" s="19" t="s">
        <v>164</v>
      </c>
      <c r="D339" s="24"/>
      <c r="E339" s="94"/>
      <c r="F339" s="332"/>
      <c r="G339" s="25"/>
    </row>
    <row r="340" spans="1:7" s="47" customFormat="1" ht="15">
      <c r="A340" s="22"/>
      <c r="B340" s="16"/>
      <c r="C340" s="92">
        <v>25</v>
      </c>
      <c r="D340" s="24"/>
      <c r="E340" s="94"/>
      <c r="F340" s="332"/>
      <c r="G340" s="25"/>
    </row>
    <row r="341" spans="1:7" s="47" customFormat="1" ht="15">
      <c r="A341" s="22"/>
      <c r="B341" s="23"/>
      <c r="C341" s="318" t="str">
        <f>"UKUPNO: "&amp;C342&amp;" kom."</f>
        <v>UKUPNO: 25 kom.</v>
      </c>
      <c r="D341" s="24"/>
      <c r="E341" s="94"/>
      <c r="F341" s="332"/>
      <c r="G341" s="25"/>
    </row>
    <row r="342" spans="1:7" s="47" customFormat="1" ht="15">
      <c r="A342" s="22"/>
      <c r="B342" s="13" t="s">
        <v>4</v>
      </c>
      <c r="C342" s="22">
        <f>SUM(C340:C340)</f>
        <v>25</v>
      </c>
      <c r="D342" s="22" t="s">
        <v>95</v>
      </c>
      <c r="E342" s="95"/>
      <c r="F342" s="46" t="s">
        <v>6</v>
      </c>
      <c r="G342" s="15">
        <f>C342*E342</f>
        <v>0</v>
      </c>
    </row>
    <row r="343" spans="1:7" s="47" customFormat="1" ht="15">
      <c r="A343" s="226"/>
      <c r="B343" s="225"/>
      <c r="C343" s="242"/>
      <c r="D343" s="226"/>
      <c r="E343" s="308"/>
      <c r="F343" s="228"/>
      <c r="G343" s="229"/>
    </row>
    <row r="344" spans="1:7" s="47" customFormat="1" ht="58.5">
      <c r="A344" s="22">
        <v>7</v>
      </c>
      <c r="B344" s="23"/>
      <c r="C344" s="9" t="s">
        <v>228</v>
      </c>
      <c r="D344" s="24"/>
      <c r="E344" s="94"/>
      <c r="F344" s="332"/>
      <c r="G344" s="25"/>
    </row>
    <row r="345" spans="1:7" s="47" customFormat="1" ht="72.75">
      <c r="A345" s="7"/>
      <c r="B345" s="13"/>
      <c r="C345" s="84" t="s">
        <v>33</v>
      </c>
      <c r="D345" s="7"/>
      <c r="E345" s="95"/>
      <c r="F345" s="14"/>
      <c r="G345" s="15"/>
    </row>
    <row r="346" spans="1:7" s="47" customFormat="1" ht="15">
      <c r="A346" s="22" t="s">
        <v>53</v>
      </c>
      <c r="B346" s="23"/>
      <c r="C346" s="19" t="s">
        <v>227</v>
      </c>
      <c r="D346" s="24"/>
      <c r="E346" s="94"/>
      <c r="F346" s="332"/>
      <c r="G346" s="25"/>
    </row>
    <row r="347" spans="1:7" s="47" customFormat="1" ht="15">
      <c r="A347" s="22"/>
      <c r="B347" s="16"/>
      <c r="C347" s="92">
        <f>3*1</f>
        <v>3</v>
      </c>
      <c r="D347" s="24"/>
      <c r="E347" s="94"/>
      <c r="F347" s="332"/>
      <c r="G347" s="25"/>
    </row>
    <row r="348" spans="1:7" s="47" customFormat="1" ht="15">
      <c r="A348" s="22"/>
      <c r="B348" s="23"/>
      <c r="C348" s="318" t="str">
        <f>"UKUPNO: "&amp;C349&amp;" kom."</f>
        <v>UKUPNO: 2 kom.</v>
      </c>
      <c r="D348" s="24"/>
      <c r="E348" s="94"/>
      <c r="F348" s="332"/>
      <c r="G348" s="25"/>
    </row>
    <row r="349" spans="1:7" s="47" customFormat="1" ht="15">
      <c r="A349" s="22"/>
      <c r="B349" s="13" t="s">
        <v>4</v>
      </c>
      <c r="C349" s="22">
        <v>2</v>
      </c>
      <c r="D349" s="22" t="s">
        <v>95</v>
      </c>
      <c r="E349" s="95"/>
      <c r="F349" s="46" t="s">
        <v>6</v>
      </c>
      <c r="G349" s="15">
        <f>C349*E349</f>
        <v>0</v>
      </c>
    </row>
    <row r="350" spans="1:7" ht="15">
      <c r="A350" s="224"/>
      <c r="B350" s="225"/>
      <c r="C350" s="242"/>
      <c r="D350" s="226"/>
      <c r="E350" s="227"/>
      <c r="F350" s="228"/>
      <c r="G350" s="229"/>
    </row>
    <row r="351" spans="1:7" ht="58.5">
      <c r="A351" s="185" t="s">
        <v>48</v>
      </c>
      <c r="B351" s="23"/>
      <c r="C351" s="9" t="s">
        <v>214</v>
      </c>
      <c r="D351" s="24"/>
      <c r="E351" s="161"/>
      <c r="F351" s="24"/>
      <c r="G351" s="25"/>
    </row>
    <row r="352" spans="1:7" ht="72.75">
      <c r="A352" s="1"/>
      <c r="B352" s="13"/>
      <c r="C352" s="84" t="s">
        <v>33</v>
      </c>
      <c r="D352" s="7"/>
      <c r="E352" s="162"/>
      <c r="F352" s="14"/>
      <c r="G352" s="15"/>
    </row>
    <row r="353" spans="1:7" ht="15">
      <c r="A353" s="22"/>
      <c r="B353" s="23" t="s">
        <v>39</v>
      </c>
      <c r="C353" s="149">
        <v>269</v>
      </c>
      <c r="D353" s="24"/>
      <c r="E353" s="161"/>
      <c r="F353" s="24"/>
      <c r="G353" s="25"/>
    </row>
    <row r="354" spans="1:7" s="44" customFormat="1" ht="15">
      <c r="A354" s="22"/>
      <c r="B354" s="23"/>
      <c r="C354" s="318" t="str">
        <f>"UKUPNO: "&amp;C355&amp;" kom."</f>
        <v>UKUPNO: 269 kom.</v>
      </c>
      <c r="D354" s="24"/>
      <c r="E354" s="161"/>
      <c r="F354" s="24"/>
      <c r="G354" s="25"/>
    </row>
    <row r="355" spans="1:7" s="47" customFormat="1" ht="15">
      <c r="A355" s="45"/>
      <c r="B355" s="13" t="s">
        <v>4</v>
      </c>
      <c r="C355" s="167">
        <f>SUM(C353:C353)</f>
        <v>269</v>
      </c>
      <c r="D355" s="22" t="s">
        <v>95</v>
      </c>
      <c r="E355" s="162"/>
      <c r="F355" s="46" t="s">
        <v>6</v>
      </c>
      <c r="G355" s="15">
        <f>C355*E355</f>
        <v>0</v>
      </c>
    </row>
    <row r="356" spans="1:7" s="47" customFormat="1" ht="15">
      <c r="A356" s="45"/>
      <c r="B356" s="13"/>
      <c r="C356" s="167"/>
      <c r="D356" s="22"/>
      <c r="E356" s="162"/>
      <c r="F356" s="46"/>
      <c r="G356" s="15"/>
    </row>
    <row r="357" spans="1:7" s="47" customFormat="1" ht="15">
      <c r="A357" s="45"/>
      <c r="B357" s="13"/>
      <c r="C357" s="167"/>
      <c r="D357" s="22"/>
      <c r="E357" s="162"/>
      <c r="F357" s="46"/>
      <c r="G357" s="15"/>
    </row>
    <row r="358" spans="1:7" s="47" customFormat="1" ht="15">
      <c r="A358" s="45"/>
      <c r="B358" s="13"/>
      <c r="C358" s="167"/>
      <c r="D358" s="22"/>
      <c r="E358" s="162"/>
      <c r="F358" s="46"/>
      <c r="G358" s="15"/>
    </row>
    <row r="359" spans="1:7" ht="15">
      <c r="A359" s="226"/>
      <c r="B359" s="234"/>
      <c r="C359" s="220"/>
      <c r="D359" s="257"/>
      <c r="E359" s="258"/>
      <c r="F359" s="257"/>
      <c r="G359" s="280"/>
    </row>
    <row r="360" spans="1:7" ht="15">
      <c r="A360" s="330"/>
      <c r="B360" s="50"/>
      <c r="C360" s="51"/>
      <c r="D360" s="52"/>
      <c r="E360" s="192"/>
      <c r="F360" s="52"/>
      <c r="G360" s="53"/>
    </row>
    <row r="361" spans="1:7" ht="15.75">
      <c r="A361" s="93" t="s">
        <v>31</v>
      </c>
      <c r="B361" s="55"/>
      <c r="C361" s="111" t="s">
        <v>80</v>
      </c>
      <c r="D361" s="54"/>
      <c r="E361" s="56"/>
      <c r="F361" s="55" t="s">
        <v>87</v>
      </c>
      <c r="G361" s="57">
        <f>SUM(G116:G360)</f>
        <v>0</v>
      </c>
    </row>
    <row r="362" spans="1:7" ht="15">
      <c r="A362" s="331"/>
      <c r="B362" s="58"/>
      <c r="C362" s="59"/>
      <c r="D362" s="60"/>
      <c r="E362" s="193"/>
      <c r="F362" s="60"/>
      <c r="G362" s="61"/>
    </row>
    <row r="363" spans="1:7" ht="15">
      <c r="A363" s="226"/>
      <c r="B363" s="234"/>
      <c r="C363" s="235"/>
      <c r="D363" s="220"/>
      <c r="E363" s="221"/>
      <c r="F363" s="220"/>
      <c r="G363" s="222"/>
    </row>
    <row r="364" spans="1:7" ht="15.75">
      <c r="A364" s="93" t="s">
        <v>32</v>
      </c>
      <c r="B364" s="55"/>
      <c r="C364" s="3" t="s">
        <v>63</v>
      </c>
      <c r="D364" s="54"/>
      <c r="E364" s="56"/>
      <c r="F364" s="54"/>
      <c r="G364" s="57"/>
    </row>
    <row r="365" spans="1:7" s="12" customFormat="1" ht="68.25" customHeight="1">
      <c r="A365" s="174"/>
      <c r="B365" s="8"/>
      <c r="C365" s="19" t="s">
        <v>229</v>
      </c>
      <c r="D365" s="10"/>
      <c r="E365" s="180"/>
      <c r="F365" s="10"/>
      <c r="G365" s="6"/>
    </row>
    <row r="366" spans="1:7" ht="356.25">
      <c r="A366" s="184" t="s">
        <v>3</v>
      </c>
      <c r="B366" s="4"/>
      <c r="C366" s="21" t="s">
        <v>230</v>
      </c>
      <c r="D366" s="4"/>
      <c r="E366" s="163"/>
      <c r="F366" s="4"/>
      <c r="G366" s="18"/>
    </row>
    <row r="367" spans="1:7" ht="15">
      <c r="A367" s="185"/>
      <c r="B367" s="23" t="s">
        <v>39</v>
      </c>
      <c r="C367" s="168" t="str">
        <f>"0,6×1,0×5,0×19 kom = "&amp;ROUNDUP((0.6*1*5)*19,1)&amp;" m³"</f>
        <v>0,6×1,0×5,0×19 kom = 57 m³</v>
      </c>
      <c r="D367" s="24"/>
      <c r="E367" s="161"/>
      <c r="F367" s="24"/>
      <c r="G367" s="25"/>
    </row>
    <row r="368" spans="1:7" ht="15">
      <c r="A368" s="185"/>
      <c r="B368" s="23"/>
      <c r="C368" s="168" t="str">
        <f>"- dodatno za okna: 1,5×1,5×0,8×5 kom = "&amp;ROUNDUP((1.5*1.5*0.8)*5,1)&amp;" m³"</f>
        <v>- dodatno za okna: 1,5×1,5×0,8×5 kom = 9 m³</v>
      </c>
      <c r="D368" s="24"/>
      <c r="E368" s="161"/>
      <c r="F368" s="24"/>
      <c r="G368" s="25"/>
    </row>
    <row r="369" spans="1:7" ht="15">
      <c r="A369" s="185"/>
      <c r="B369" s="23"/>
      <c r="C369" s="341" t="str">
        <f>"UKUPNO: "&amp;(57+9)&amp;" m³"</f>
        <v>UKUPNO: 66 m³</v>
      </c>
      <c r="D369" s="24"/>
      <c r="E369" s="161"/>
      <c r="F369" s="24"/>
      <c r="G369" s="25"/>
    </row>
    <row r="370" spans="1:7" ht="11.25" customHeight="1">
      <c r="A370" s="185"/>
      <c r="B370" s="23"/>
      <c r="C370" s="168"/>
      <c r="D370" s="24"/>
      <c r="E370" s="161"/>
      <c r="F370" s="24"/>
      <c r="G370" s="25"/>
    </row>
    <row r="371" spans="1:7" ht="15">
      <c r="A371" s="184"/>
      <c r="B371" s="33" t="s">
        <v>20</v>
      </c>
      <c r="C371" s="167">
        <v>66</v>
      </c>
      <c r="D371" s="7" t="s">
        <v>95</v>
      </c>
      <c r="E371" s="162"/>
      <c r="F371" s="14" t="s">
        <v>6</v>
      </c>
      <c r="G371" s="15">
        <f>C371*E371</f>
        <v>0</v>
      </c>
    </row>
    <row r="372" spans="1:7" s="12" customFormat="1" ht="15">
      <c r="A372" s="223"/>
      <c r="B372" s="234"/>
      <c r="C372" s="235"/>
      <c r="D372" s="220"/>
      <c r="E372" s="221"/>
      <c r="F372" s="220"/>
      <c r="G372" s="222"/>
    </row>
    <row r="373" spans="1:7" ht="158.25">
      <c r="A373" s="184" t="s">
        <v>7</v>
      </c>
      <c r="B373" s="4"/>
      <c r="C373" s="21" t="s">
        <v>236</v>
      </c>
      <c r="D373" s="4"/>
      <c r="E373" s="163"/>
      <c r="F373" s="4"/>
      <c r="G373" s="18"/>
    </row>
    <row r="374" spans="1:7" ht="15">
      <c r="A374" s="185"/>
      <c r="B374" s="23" t="s">
        <v>39</v>
      </c>
      <c r="C374" s="168" t="str">
        <f>"0,6×0,4×5,0×19 = "&amp;ROUNDUP((0.6*0.4*5)*19,1)&amp;" m³"</f>
        <v>0,6×0,4×5,0×19 = 22,8 m³</v>
      </c>
      <c r="D374" s="24"/>
      <c r="E374" s="161"/>
      <c r="F374" s="24"/>
      <c r="G374" s="25"/>
    </row>
    <row r="375" spans="1:7" ht="15">
      <c r="A375" s="185"/>
      <c r="B375" s="23"/>
      <c r="C375" s="341" t="str">
        <f>"UKUPNO: "&amp;C377&amp;" m³"</f>
        <v>UKUPNO: 23 m³</v>
      </c>
      <c r="D375" s="24"/>
      <c r="E375" s="161"/>
      <c r="F375" s="24"/>
      <c r="G375" s="25"/>
    </row>
    <row r="376" spans="1:7" ht="15">
      <c r="A376" s="185"/>
      <c r="B376" s="23"/>
      <c r="C376" s="426"/>
      <c r="D376" s="24"/>
      <c r="E376" s="161"/>
      <c r="F376" s="24"/>
      <c r="G376" s="25"/>
    </row>
    <row r="377" spans="1:7" ht="15">
      <c r="A377" s="184"/>
      <c r="B377" s="33" t="s">
        <v>20</v>
      </c>
      <c r="C377" s="167">
        <v>23</v>
      </c>
      <c r="D377" s="7" t="s">
        <v>95</v>
      </c>
      <c r="E377" s="162"/>
      <c r="F377" s="14" t="s">
        <v>6</v>
      </c>
      <c r="G377" s="15">
        <f>C377*E377</f>
        <v>0</v>
      </c>
    </row>
    <row r="378" spans="1:7" ht="16.5">
      <c r="A378" s="273"/>
      <c r="B378" s="274"/>
      <c r="C378" s="275"/>
      <c r="D378" s="276"/>
      <c r="E378" s="276"/>
      <c r="F378" s="276"/>
      <c r="G378" s="275"/>
    </row>
    <row r="379" spans="1:7" ht="100.5">
      <c r="A379" s="174" t="s">
        <v>41</v>
      </c>
      <c r="C379" s="76" t="s">
        <v>237</v>
      </c>
      <c r="E379" s="202"/>
      <c r="G379" s="77"/>
    </row>
    <row r="380" spans="1:7" ht="15">
      <c r="A380" s="185"/>
      <c r="B380" s="23" t="s">
        <v>39</v>
      </c>
      <c r="C380" s="168" t="str">
        <f>"0,6×0,4×5,0×19 = "&amp;ROUNDUP((0.6*0.4*5*19),1)&amp;" m³"</f>
        <v>0,6×0,4×5,0×19 = 22,8 m³</v>
      </c>
      <c r="D380" s="24"/>
      <c r="E380" s="161"/>
      <c r="F380" s="24"/>
      <c r="G380" s="25"/>
    </row>
    <row r="381" spans="1:7" ht="15">
      <c r="A381" s="185"/>
      <c r="B381" s="23"/>
      <c r="C381" s="341" t="str">
        <f>"UKUPNO: "&amp;C383&amp;" m³"</f>
        <v>UKUPNO: 23 m³</v>
      </c>
      <c r="D381" s="24"/>
      <c r="E381" s="161"/>
      <c r="F381" s="24"/>
      <c r="G381" s="25"/>
    </row>
    <row r="382" spans="1:7" ht="15">
      <c r="A382" s="185"/>
      <c r="B382" s="23"/>
      <c r="C382" s="426"/>
      <c r="D382" s="24"/>
      <c r="E382" s="161"/>
      <c r="F382" s="24"/>
      <c r="G382" s="25"/>
    </row>
    <row r="383" spans="1:7" ht="15">
      <c r="A383" s="184"/>
      <c r="B383" s="33" t="s">
        <v>20</v>
      </c>
      <c r="C383" s="167">
        <v>23</v>
      </c>
      <c r="D383" s="7" t="s">
        <v>95</v>
      </c>
      <c r="E383" s="162"/>
      <c r="F383" s="14" t="s">
        <v>6</v>
      </c>
      <c r="G383" s="15">
        <f>C383*E383</f>
        <v>0</v>
      </c>
    </row>
    <row r="384" spans="1:7" ht="15">
      <c r="A384" s="223"/>
      <c r="B384" s="225"/>
      <c r="C384" s="277"/>
      <c r="D384" s="226"/>
      <c r="E384" s="278"/>
      <c r="F384" s="228"/>
      <c r="G384" s="264"/>
    </row>
    <row r="385" spans="1:7" s="12" customFormat="1" ht="191.25" customHeight="1">
      <c r="A385" s="184" t="s">
        <v>42</v>
      </c>
      <c r="B385" s="16"/>
      <c r="C385" s="29" t="s">
        <v>238</v>
      </c>
      <c r="D385" s="4"/>
      <c r="E385" s="163"/>
      <c r="F385" s="4"/>
      <c r="G385" s="6"/>
    </row>
    <row r="386" spans="1:7" s="12" customFormat="1" ht="22.5" customHeight="1">
      <c r="A386" s="174"/>
      <c r="B386" s="8"/>
      <c r="C386" s="78" t="s">
        <v>26</v>
      </c>
      <c r="D386" s="10"/>
      <c r="E386" s="194"/>
      <c r="F386" s="10"/>
      <c r="G386" s="75"/>
    </row>
    <row r="387" spans="1:7" s="12" customFormat="1">
      <c r="B387" s="342"/>
      <c r="C387" s="73" t="str">
        <f>C371&amp;" × 1,35 = "&amp;(C371)*1.35&amp;" m³"</f>
        <v>66 × 1,35 = 89,1 m³</v>
      </c>
      <c r="D387" s="4"/>
      <c r="E387" s="203"/>
      <c r="F387" s="4"/>
      <c r="G387" s="18"/>
    </row>
    <row r="388" spans="1:7" s="12" customFormat="1" ht="15">
      <c r="A388" s="185" t="s">
        <v>56</v>
      </c>
      <c r="B388" s="34"/>
      <c r="C388" s="80" t="s">
        <v>22</v>
      </c>
      <c r="D388" s="24"/>
      <c r="E388" s="161"/>
      <c r="F388" s="24"/>
      <c r="G388" s="6" t="s">
        <v>11</v>
      </c>
    </row>
    <row r="389" spans="1:7" s="12" customFormat="1" ht="15">
      <c r="A389" s="185"/>
      <c r="B389" s="13" t="s">
        <v>20</v>
      </c>
      <c r="C389" s="27">
        <f>ROUNDUP(C371*1.35,0)</f>
        <v>90</v>
      </c>
      <c r="D389" s="22" t="s">
        <v>95</v>
      </c>
      <c r="E389" s="204"/>
      <c r="F389" s="14" t="s">
        <v>6</v>
      </c>
      <c r="G389" s="66">
        <f>C389*E389</f>
        <v>0</v>
      </c>
    </row>
    <row r="390" spans="1:7" s="12" customFormat="1" ht="15">
      <c r="A390" s="185"/>
      <c r="B390" s="23"/>
      <c r="C390" s="343"/>
      <c r="D390" s="24"/>
      <c r="E390" s="161"/>
      <c r="F390" s="24"/>
      <c r="G390" s="6"/>
    </row>
    <row r="391" spans="1:7" s="12" customFormat="1" ht="15">
      <c r="A391" s="185" t="s">
        <v>65</v>
      </c>
      <c r="B391" s="34"/>
      <c r="C391" s="80" t="s">
        <v>23</v>
      </c>
      <c r="D391" s="24"/>
      <c r="E391" s="161"/>
      <c r="F391" s="24"/>
      <c r="G391" s="6" t="s">
        <v>11</v>
      </c>
    </row>
    <row r="392" spans="1:7" s="12" customFormat="1" ht="15">
      <c r="A392" s="185"/>
      <c r="B392" s="13" t="s">
        <v>20</v>
      </c>
      <c r="C392" s="27">
        <f>C389</f>
        <v>90</v>
      </c>
      <c r="D392" s="22" t="s">
        <v>95</v>
      </c>
      <c r="E392" s="204"/>
      <c r="F392" s="14" t="s">
        <v>6</v>
      </c>
      <c r="G392" s="66">
        <f>C392*E392</f>
        <v>0</v>
      </c>
    </row>
    <row r="393" spans="1:7" ht="15">
      <c r="A393" s="230"/>
      <c r="B393" s="231"/>
      <c r="C393" s="281"/>
      <c r="D393" s="232"/>
      <c r="E393" s="236"/>
      <c r="F393" s="232"/>
      <c r="G393" s="261"/>
    </row>
    <row r="394" spans="1:7" ht="249" customHeight="1">
      <c r="A394" s="174" t="s">
        <v>44</v>
      </c>
      <c r="C394" s="9" t="s">
        <v>231</v>
      </c>
      <c r="E394" s="337"/>
      <c r="G394" s="338"/>
    </row>
    <row r="395" spans="1:7" ht="15">
      <c r="A395" s="185"/>
      <c r="B395" s="23" t="s">
        <v>39</v>
      </c>
      <c r="C395" s="92">
        <v>5</v>
      </c>
      <c r="D395" s="24"/>
      <c r="E395" s="161"/>
      <c r="F395" s="24"/>
      <c r="G395" s="68"/>
    </row>
    <row r="396" spans="1:7" s="44" customFormat="1" ht="15">
      <c r="A396" s="185"/>
      <c r="B396" s="23"/>
      <c r="C396" s="318" t="str">
        <f>"UKUPNO: "&amp;C397&amp;" kom."</f>
        <v>UKUPNO: 5 kom.</v>
      </c>
      <c r="D396" s="24"/>
      <c r="E396" s="161"/>
      <c r="F396" s="24"/>
      <c r="G396" s="68"/>
    </row>
    <row r="397" spans="1:7" ht="15">
      <c r="A397" s="174"/>
      <c r="B397" s="36" t="s">
        <v>4</v>
      </c>
      <c r="C397" s="40">
        <f>SUM(C395:C395)</f>
        <v>5</v>
      </c>
      <c r="D397" s="30" t="s">
        <v>95</v>
      </c>
      <c r="E397" s="339"/>
      <c r="F397" s="14" t="s">
        <v>6</v>
      </c>
      <c r="G397" s="66">
        <f>C397*E397</f>
        <v>0</v>
      </c>
    </row>
    <row r="398" spans="1:7" ht="15">
      <c r="A398" s="230"/>
      <c r="B398" s="231"/>
      <c r="C398" s="281"/>
      <c r="D398" s="232"/>
      <c r="E398" s="236"/>
      <c r="F398" s="232"/>
      <c r="G398" s="261"/>
    </row>
    <row r="399" spans="1:7" ht="73.5">
      <c r="A399" s="174" t="s">
        <v>47</v>
      </c>
      <c r="C399" s="9" t="s">
        <v>232</v>
      </c>
      <c r="E399" s="337"/>
      <c r="G399" s="338"/>
    </row>
    <row r="400" spans="1:7" ht="228">
      <c r="A400" s="174"/>
      <c r="C400" s="9" t="s">
        <v>234</v>
      </c>
      <c r="E400" s="337"/>
      <c r="G400" s="338"/>
    </row>
    <row r="401" spans="1:7" ht="57">
      <c r="A401" s="174"/>
      <c r="C401" s="9" t="s">
        <v>78</v>
      </c>
      <c r="E401" s="337"/>
      <c r="G401" s="338"/>
    </row>
    <row r="402" spans="1:7" ht="99.75">
      <c r="A402" s="174"/>
      <c r="C402" s="9" t="s">
        <v>180</v>
      </c>
      <c r="E402" s="337"/>
      <c r="G402" s="338"/>
    </row>
    <row r="403" spans="1:7" ht="362.25">
      <c r="A403" s="174"/>
      <c r="C403" s="48" t="s">
        <v>233</v>
      </c>
      <c r="E403" s="337"/>
      <c r="G403" s="338"/>
    </row>
    <row r="404" spans="1:7" ht="72.75">
      <c r="A404" s="184"/>
      <c r="B404" s="13"/>
      <c r="C404" s="84" t="s">
        <v>33</v>
      </c>
      <c r="D404" s="7"/>
      <c r="E404" s="162"/>
      <c r="F404" s="14"/>
      <c r="G404" s="15"/>
    </row>
    <row r="405" spans="1:7" ht="15">
      <c r="A405" s="185"/>
      <c r="B405" s="23" t="s">
        <v>39</v>
      </c>
      <c r="C405" s="92">
        <v>19</v>
      </c>
      <c r="D405" s="24"/>
      <c r="E405" s="161"/>
      <c r="F405" s="24"/>
      <c r="G405" s="68"/>
    </row>
    <row r="406" spans="1:7" s="44" customFormat="1" ht="15">
      <c r="A406" s="185"/>
      <c r="B406" s="23"/>
      <c r="C406" s="318" t="str">
        <f>"UKUPNO: "&amp;C407&amp;" kom."</f>
        <v>UKUPNO: 19 kom.</v>
      </c>
      <c r="D406" s="24"/>
      <c r="E406" s="161"/>
      <c r="F406" s="24"/>
      <c r="G406" s="68"/>
    </row>
    <row r="407" spans="1:7" ht="15">
      <c r="A407" s="174"/>
      <c r="B407" s="36" t="s">
        <v>4</v>
      </c>
      <c r="C407" s="40">
        <f>SUM(C405)</f>
        <v>19</v>
      </c>
      <c r="D407" s="30" t="s">
        <v>95</v>
      </c>
      <c r="E407" s="339"/>
      <c r="F407" s="14" t="s">
        <v>6</v>
      </c>
      <c r="G407" s="66">
        <f>C407*E407</f>
        <v>0</v>
      </c>
    </row>
    <row r="408" spans="1:7" ht="15">
      <c r="A408" s="174"/>
      <c r="B408" s="36"/>
      <c r="C408" s="40"/>
      <c r="D408" s="30"/>
      <c r="E408" s="339"/>
      <c r="F408" s="14"/>
      <c r="G408" s="66"/>
    </row>
    <row r="409" spans="1:7" ht="15">
      <c r="A409" s="174"/>
      <c r="B409" s="36"/>
      <c r="C409" s="40"/>
      <c r="D409" s="30"/>
      <c r="E409" s="339"/>
      <c r="F409" s="14"/>
      <c r="G409" s="66"/>
    </row>
    <row r="410" spans="1:7" ht="15">
      <c r="A410" s="174"/>
      <c r="B410" s="36"/>
      <c r="C410" s="40"/>
      <c r="D410" s="30"/>
      <c r="E410" s="339"/>
      <c r="F410" s="14"/>
      <c r="G410" s="66"/>
    </row>
    <row r="411" spans="1:7" ht="15">
      <c r="A411" s="184"/>
      <c r="B411" s="16"/>
      <c r="C411" s="4"/>
      <c r="D411" s="4"/>
      <c r="E411" s="163"/>
      <c r="F411" s="4"/>
      <c r="G411" s="18"/>
    </row>
    <row r="412" spans="1:7" ht="15">
      <c r="A412" s="186"/>
      <c r="B412" s="50"/>
      <c r="C412" s="51"/>
      <c r="D412" s="52"/>
      <c r="E412" s="192"/>
      <c r="F412" s="52"/>
      <c r="G412" s="53"/>
    </row>
    <row r="413" spans="1:7" ht="31.5">
      <c r="A413" s="93" t="s">
        <v>32</v>
      </c>
      <c r="B413" s="55"/>
      <c r="C413" s="3" t="s">
        <v>64</v>
      </c>
      <c r="D413" s="54"/>
      <c r="E413" s="56"/>
      <c r="F413" s="55" t="s">
        <v>87</v>
      </c>
      <c r="G413" s="57">
        <f>SUM(G364:G412)</f>
        <v>0</v>
      </c>
    </row>
    <row r="414" spans="1:7" ht="15">
      <c r="A414" s="187"/>
      <c r="B414" s="58"/>
      <c r="C414" s="59"/>
      <c r="D414" s="60"/>
      <c r="E414" s="193"/>
      <c r="F414" s="60"/>
      <c r="G414" s="61"/>
    </row>
    <row r="415" spans="1:7" ht="15">
      <c r="A415" s="223"/>
      <c r="B415" s="234"/>
      <c r="C415" s="235"/>
      <c r="D415" s="220"/>
      <c r="E415" s="221"/>
      <c r="F415" s="220"/>
      <c r="G415" s="222"/>
    </row>
    <row r="416" spans="1:7" ht="15.75">
      <c r="A416" s="93" t="s">
        <v>35</v>
      </c>
      <c r="B416" s="55"/>
      <c r="C416" s="3" t="s">
        <v>36</v>
      </c>
      <c r="D416" s="54"/>
      <c r="E416" s="56"/>
      <c r="F416" s="54"/>
      <c r="G416" s="57"/>
    </row>
    <row r="417" spans="1:7" s="12" customFormat="1" ht="15">
      <c r="A417" s="184"/>
      <c r="B417" s="16"/>
      <c r="C417" s="17"/>
      <c r="D417" s="4"/>
      <c r="E417" s="163"/>
      <c r="F417" s="4"/>
      <c r="G417" s="18"/>
    </row>
    <row r="418" spans="1:7" ht="228.75">
      <c r="A418" s="184" t="s">
        <v>3</v>
      </c>
      <c r="B418" s="4"/>
      <c r="C418" s="21" t="s">
        <v>211</v>
      </c>
      <c r="D418" s="4"/>
      <c r="E418" s="163"/>
      <c r="F418" s="4"/>
      <c r="G418" s="18"/>
    </row>
    <row r="419" spans="1:7" ht="114">
      <c r="A419" s="184"/>
      <c r="B419" s="4"/>
      <c r="C419" s="21" t="s">
        <v>70</v>
      </c>
      <c r="D419" s="4"/>
      <c r="E419" s="163"/>
      <c r="F419" s="4"/>
      <c r="G419" s="18"/>
    </row>
    <row r="420" spans="1:7" ht="15">
      <c r="A420" s="184" t="s">
        <v>15</v>
      </c>
      <c r="B420" s="4"/>
      <c r="C420" s="83" t="s">
        <v>164</v>
      </c>
      <c r="D420" s="4"/>
      <c r="E420" s="163"/>
      <c r="F420" s="4"/>
      <c r="G420" s="18"/>
    </row>
    <row r="421" spans="1:7" ht="15">
      <c r="A421" s="185"/>
      <c r="B421" s="23" t="s">
        <v>39</v>
      </c>
      <c r="C421" s="149">
        <v>254</v>
      </c>
      <c r="D421" s="24"/>
      <c r="E421" s="161"/>
      <c r="F421" s="24"/>
      <c r="G421" s="25"/>
    </row>
    <row r="422" spans="1:7" ht="15">
      <c r="A422" s="185"/>
      <c r="B422" s="23"/>
      <c r="C422" s="26" t="str">
        <f>"UKUPNO: "&amp;C423&amp;" m'"</f>
        <v>UKUPNO: 254 m'</v>
      </c>
      <c r="D422" s="24"/>
      <c r="E422" s="161"/>
      <c r="F422" s="24"/>
      <c r="G422" s="25"/>
    </row>
    <row r="423" spans="1:7" ht="15">
      <c r="A423" s="184"/>
      <c r="B423" s="13" t="s">
        <v>8</v>
      </c>
      <c r="C423" s="27">
        <f>SUM(C421:C421)</f>
        <v>254</v>
      </c>
      <c r="D423" s="7" t="s">
        <v>95</v>
      </c>
      <c r="E423" s="162"/>
      <c r="F423" s="14" t="s">
        <v>6</v>
      </c>
      <c r="G423" s="15">
        <f>C423*E423</f>
        <v>0</v>
      </c>
    </row>
    <row r="424" spans="1:7" s="12" customFormat="1" ht="15">
      <c r="A424" s="223"/>
      <c r="B424" s="234"/>
      <c r="C424" s="235"/>
      <c r="D424" s="220"/>
      <c r="E424" s="221"/>
      <c r="F424" s="220"/>
      <c r="G424" s="222"/>
    </row>
    <row r="425" spans="1:7" ht="129">
      <c r="A425" s="184" t="s">
        <v>7</v>
      </c>
      <c r="B425" s="4"/>
      <c r="C425" s="21" t="s">
        <v>235</v>
      </c>
      <c r="D425" s="4"/>
      <c r="E425" s="163"/>
      <c r="F425" s="4"/>
      <c r="G425" s="18"/>
    </row>
    <row r="426" spans="1:7" ht="15">
      <c r="A426" s="185"/>
      <c r="B426" s="23" t="s">
        <v>39</v>
      </c>
      <c r="C426" s="92">
        <v>1</v>
      </c>
      <c r="D426" s="24"/>
      <c r="E426" s="161"/>
      <c r="F426" s="24"/>
      <c r="G426" s="25"/>
    </row>
    <row r="427" spans="1:7" ht="15">
      <c r="A427" s="185"/>
      <c r="B427" s="23"/>
      <c r="C427" s="26" t="str">
        <f>"UKUPNO: "&amp;C428&amp;" kom."</f>
        <v>UKUPNO: 1 kom.</v>
      </c>
      <c r="D427" s="24"/>
      <c r="E427" s="161"/>
      <c r="F427" s="24"/>
      <c r="G427" s="25"/>
    </row>
    <row r="428" spans="1:7" ht="15">
      <c r="A428" s="184"/>
      <c r="B428" s="13" t="s">
        <v>4</v>
      </c>
      <c r="C428" s="81">
        <f>SUM(C426:C426)</f>
        <v>1</v>
      </c>
      <c r="D428" s="7" t="s">
        <v>95</v>
      </c>
      <c r="E428" s="162"/>
      <c r="F428" s="14" t="s">
        <v>6</v>
      </c>
      <c r="G428" s="15">
        <f>C428*E428</f>
        <v>0</v>
      </c>
    </row>
    <row r="429" spans="1:7" s="12" customFormat="1" ht="15">
      <c r="A429" s="223"/>
      <c r="B429" s="234"/>
      <c r="C429" s="235"/>
      <c r="D429" s="220"/>
      <c r="E429" s="221"/>
      <c r="F429" s="220"/>
      <c r="G429" s="222"/>
    </row>
    <row r="430" spans="1:7" ht="186">
      <c r="A430" s="184" t="s">
        <v>41</v>
      </c>
      <c r="B430" s="4"/>
      <c r="C430" s="21" t="s">
        <v>215</v>
      </c>
      <c r="D430" s="4"/>
      <c r="E430" s="163"/>
      <c r="F430" s="4"/>
      <c r="G430" s="18"/>
    </row>
    <row r="431" spans="1:7" ht="15">
      <c r="A431" s="184" t="s">
        <v>60</v>
      </c>
      <c r="B431" s="4"/>
      <c r="C431" s="83" t="s">
        <v>164</v>
      </c>
      <c r="D431" s="4"/>
      <c r="E431" s="163"/>
      <c r="F431" s="4"/>
      <c r="G431" s="18"/>
    </row>
    <row r="432" spans="1:7" ht="15">
      <c r="A432" s="185"/>
      <c r="B432" s="23" t="s">
        <v>39</v>
      </c>
      <c r="C432" s="149">
        <v>254</v>
      </c>
      <c r="D432" s="24"/>
      <c r="E432" s="161"/>
      <c r="F432" s="24"/>
      <c r="G432" s="25"/>
    </row>
    <row r="433" spans="1:7" ht="15">
      <c r="A433" s="185"/>
      <c r="B433" s="23"/>
      <c r="C433" s="26" t="str">
        <f>"UKUPNO: "&amp;C434&amp;" m'"</f>
        <v>UKUPNO: 254 m'</v>
      </c>
      <c r="D433" s="24"/>
      <c r="E433" s="161"/>
      <c r="F433" s="24"/>
      <c r="G433" s="25"/>
    </row>
    <row r="434" spans="1:7" ht="15">
      <c r="A434" s="184"/>
      <c r="B434" s="13" t="s">
        <v>8</v>
      </c>
      <c r="C434" s="27">
        <f>SUM(C432:C432)</f>
        <v>254</v>
      </c>
      <c r="D434" s="7" t="s">
        <v>95</v>
      </c>
      <c r="E434" s="162"/>
      <c r="F434" s="14" t="s">
        <v>6</v>
      </c>
      <c r="G434" s="15">
        <f>C434*E434</f>
        <v>0</v>
      </c>
    </row>
    <row r="435" spans="1:7" s="12" customFormat="1" ht="15">
      <c r="A435" s="223"/>
      <c r="B435" s="234"/>
      <c r="C435" s="235"/>
      <c r="D435" s="220"/>
      <c r="E435" s="221"/>
      <c r="F435" s="220"/>
      <c r="G435" s="222"/>
    </row>
    <row r="436" spans="1:7" ht="186">
      <c r="A436" s="184" t="s">
        <v>42</v>
      </c>
      <c r="B436" s="4"/>
      <c r="C436" s="74" t="s">
        <v>216</v>
      </c>
      <c r="D436" s="4"/>
      <c r="E436" s="163"/>
      <c r="F436" s="4"/>
      <c r="G436" s="18"/>
    </row>
    <row r="437" spans="1:7" ht="15">
      <c r="A437" s="185"/>
      <c r="B437" s="23" t="s">
        <v>39</v>
      </c>
      <c r="C437" s="92">
        <v>3</v>
      </c>
      <c r="D437" s="24"/>
      <c r="E437" s="161"/>
      <c r="F437" s="24"/>
      <c r="G437" s="25"/>
    </row>
    <row r="438" spans="1:7" ht="15">
      <c r="A438" s="185"/>
      <c r="B438" s="23"/>
      <c r="C438" s="26" t="str">
        <f>"UKUPNO: "&amp;C439&amp;" kom."</f>
        <v>UKUPNO: 3 kom.</v>
      </c>
      <c r="D438" s="24"/>
      <c r="E438" s="161"/>
      <c r="F438" s="24"/>
      <c r="G438" s="25"/>
    </row>
    <row r="439" spans="1:7" ht="15">
      <c r="A439" s="184"/>
      <c r="B439" s="13" t="s">
        <v>4</v>
      </c>
      <c r="C439" s="81">
        <f>SUM(C437:C437)</f>
        <v>3</v>
      </c>
      <c r="D439" s="7" t="s">
        <v>95</v>
      </c>
      <c r="E439" s="162"/>
      <c r="F439" s="14" t="s">
        <v>6</v>
      </c>
      <c r="G439" s="15">
        <f>C439*E439</f>
        <v>0</v>
      </c>
    </row>
    <row r="440" spans="1:7" ht="15">
      <c r="A440" s="184"/>
      <c r="B440" s="13"/>
      <c r="C440" s="81"/>
      <c r="D440" s="7"/>
      <c r="E440" s="162"/>
      <c r="F440" s="14"/>
      <c r="G440" s="15"/>
    </row>
    <row r="441" spans="1:7" ht="15">
      <c r="A441" s="184"/>
      <c r="B441" s="13"/>
      <c r="C441" s="81"/>
      <c r="D441" s="7"/>
      <c r="E441" s="162"/>
      <c r="F441" s="14"/>
      <c r="G441" s="15"/>
    </row>
    <row r="442" spans="1:7" ht="15">
      <c r="A442" s="184"/>
      <c r="B442" s="13"/>
      <c r="C442" s="81"/>
      <c r="D442" s="7"/>
      <c r="E442" s="162"/>
      <c r="F442" s="14"/>
      <c r="G442" s="15"/>
    </row>
    <row r="443" spans="1:7" ht="15">
      <c r="A443" s="184"/>
      <c r="B443" s="16"/>
      <c r="C443" s="4"/>
      <c r="D443" s="60"/>
      <c r="E443" s="193"/>
      <c r="F443" s="60"/>
      <c r="G443" s="61"/>
    </row>
    <row r="444" spans="1:7" ht="15">
      <c r="A444" s="186"/>
      <c r="B444" s="50"/>
      <c r="C444" s="51"/>
      <c r="D444" s="52"/>
      <c r="E444" s="192"/>
      <c r="F444" s="52"/>
      <c r="G444" s="53"/>
    </row>
    <row r="445" spans="1:7" ht="15.75">
      <c r="A445" s="93" t="s">
        <v>35</v>
      </c>
      <c r="B445" s="55"/>
      <c r="C445" s="3" t="s">
        <v>38</v>
      </c>
      <c r="D445" s="54"/>
      <c r="E445" s="56"/>
      <c r="F445" s="55" t="s">
        <v>87</v>
      </c>
      <c r="G445" s="57">
        <f>SUM(G416:G444)</f>
        <v>0</v>
      </c>
    </row>
    <row r="446" spans="1:7" ht="15">
      <c r="A446" s="331"/>
      <c r="B446" s="58"/>
      <c r="C446" s="59"/>
      <c r="D446" s="60"/>
      <c r="E446" s="193"/>
      <c r="F446" s="60"/>
      <c r="G446" s="61"/>
    </row>
    <row r="447" spans="1:7" ht="15">
      <c r="A447" s="7"/>
      <c r="B447" s="16"/>
      <c r="C447" s="17"/>
      <c r="D447" s="4"/>
      <c r="E447" s="163"/>
      <c r="F447" s="4"/>
      <c r="G447" s="18"/>
    </row>
    <row r="448" spans="1:7" ht="15">
      <c r="A448" s="7"/>
      <c r="B448" s="16"/>
      <c r="C448" s="17"/>
      <c r="D448" s="4"/>
      <c r="E448" s="163"/>
      <c r="F448" s="4"/>
      <c r="G448" s="18"/>
    </row>
    <row r="450" spans="1:7" ht="18">
      <c r="A450" s="436" t="s">
        <v>73</v>
      </c>
      <c r="B450" s="436"/>
      <c r="C450" s="436"/>
      <c r="D450" s="436"/>
      <c r="E450" s="436"/>
      <c r="F450" s="436"/>
      <c r="G450" s="436"/>
    </row>
    <row r="451" spans="1:7" ht="18">
      <c r="A451" s="422"/>
      <c r="B451" s="422"/>
      <c r="C451" s="422"/>
      <c r="D451" s="422"/>
      <c r="E451" s="422"/>
      <c r="F451" s="422"/>
      <c r="G451" s="422"/>
    </row>
    <row r="452" spans="1:7" ht="18">
      <c r="A452" s="422"/>
      <c r="B452" s="422"/>
      <c r="C452" s="422"/>
      <c r="D452" s="422"/>
      <c r="E452" s="422"/>
      <c r="F452" s="422"/>
      <c r="G452" s="422"/>
    </row>
    <row r="453" spans="1:7" ht="15.75">
      <c r="A453" s="340"/>
      <c r="B453" s="54"/>
      <c r="C453" s="54"/>
      <c r="D453" s="54"/>
      <c r="E453" s="56"/>
      <c r="F453" s="54"/>
      <c r="G453" s="57"/>
    </row>
    <row r="454" spans="1:7" ht="15.75">
      <c r="A454" s="54"/>
      <c r="B454" s="54"/>
      <c r="C454" s="3"/>
      <c r="D454" s="54"/>
      <c r="E454" s="56"/>
      <c r="F454" s="54"/>
      <c r="G454" s="57"/>
    </row>
    <row r="455" spans="1:7" ht="15.75">
      <c r="A455" s="54"/>
      <c r="B455" s="54" t="s">
        <v>72</v>
      </c>
      <c r="C455" s="93" t="str">
        <f>C2</f>
        <v>VODOVOD</v>
      </c>
      <c r="D455" s="54"/>
      <c r="E455" s="56"/>
      <c r="F455" s="54"/>
      <c r="G455" s="57"/>
    </row>
    <row r="456" spans="1:7" ht="15.75">
      <c r="A456" s="54"/>
      <c r="B456" s="54"/>
      <c r="C456" s="3"/>
      <c r="D456" s="54"/>
      <c r="E456" s="56"/>
      <c r="F456" s="54"/>
      <c r="G456" s="57"/>
    </row>
    <row r="457" spans="1:7" ht="15.75">
      <c r="A457" s="54"/>
      <c r="B457" s="54"/>
      <c r="C457" s="103" t="str">
        <f>A4&amp;" "&amp;C4</f>
        <v>A) PRIPREMNI RADOVI</v>
      </c>
      <c r="D457" s="2"/>
      <c r="E457" s="104"/>
      <c r="F457" s="62" t="s">
        <v>87</v>
      </c>
      <c r="G457" s="105">
        <f>G21</f>
        <v>0</v>
      </c>
    </row>
    <row r="458" spans="1:7" ht="15.75">
      <c r="A458" s="54"/>
      <c r="B458" s="54"/>
      <c r="C458" s="103"/>
      <c r="D458" s="2"/>
      <c r="E458" s="104"/>
      <c r="F458" s="62"/>
      <c r="G458" s="105"/>
    </row>
    <row r="459" spans="1:7" ht="15.75">
      <c r="A459" s="54"/>
      <c r="B459" s="54"/>
      <c r="C459" s="103" t="str">
        <f>A24&amp;" "&amp;C24</f>
        <v>B) ZEMLJANI RADOVI</v>
      </c>
      <c r="D459" s="2"/>
      <c r="E459" s="104"/>
      <c r="F459" s="62" t="s">
        <v>87</v>
      </c>
      <c r="G459" s="105">
        <f>G81</f>
        <v>0</v>
      </c>
    </row>
    <row r="460" spans="1:7" ht="15.75">
      <c r="A460" s="54"/>
      <c r="B460" s="54"/>
      <c r="C460" s="103"/>
      <c r="D460" s="2"/>
      <c r="E460" s="104"/>
      <c r="F460" s="62"/>
      <c r="G460" s="105"/>
    </row>
    <row r="461" spans="1:7" ht="15.75">
      <c r="A461" s="54"/>
      <c r="B461" s="54"/>
      <c r="C461" s="103" t="str">
        <f>A84&amp;" "&amp;C84</f>
        <v>C) BETONSKI RADOVI</v>
      </c>
      <c r="D461" s="2"/>
      <c r="E461" s="104"/>
      <c r="F461" s="62" t="s">
        <v>87</v>
      </c>
      <c r="G461" s="105">
        <f>G111</f>
        <v>0</v>
      </c>
    </row>
    <row r="462" spans="1:7" ht="15.75">
      <c r="A462" s="54"/>
      <c r="B462" s="54"/>
      <c r="C462" s="106"/>
      <c r="D462" s="2"/>
      <c r="E462" s="104"/>
      <c r="F462" s="62"/>
      <c r="G462" s="105"/>
    </row>
    <row r="463" spans="1:7" ht="15.75">
      <c r="A463" s="54"/>
      <c r="B463" s="54"/>
      <c r="C463" s="103" t="str">
        <f>A114&amp;" "&amp;C114</f>
        <v>D) DOBAVA, DOPREMA I UGRADNJA MATERIJALA</v>
      </c>
      <c r="D463" s="2"/>
      <c r="E463" s="104"/>
      <c r="F463" s="62" t="s">
        <v>87</v>
      </c>
      <c r="G463" s="105">
        <f>G361</f>
        <v>0</v>
      </c>
    </row>
    <row r="464" spans="1:7" ht="15.75">
      <c r="A464" s="54"/>
      <c r="B464" s="54"/>
      <c r="C464" s="106"/>
      <c r="D464" s="2"/>
      <c r="E464" s="104"/>
      <c r="F464" s="62"/>
      <c r="G464" s="105"/>
    </row>
    <row r="465" spans="1:7" ht="15.75">
      <c r="A465" s="54"/>
      <c r="B465" s="54"/>
      <c r="C465" s="103" t="str">
        <f>A364&amp;" "&amp;C364</f>
        <v>E) PRIPREMA KUĆNIH PRIKLJUČAKA NA JAVNOJ POVRŠINI</v>
      </c>
      <c r="D465" s="2"/>
      <c r="E465" s="104"/>
      <c r="F465" s="62" t="s">
        <v>87</v>
      </c>
      <c r="G465" s="105">
        <f>G413</f>
        <v>0</v>
      </c>
    </row>
    <row r="466" spans="1:7" ht="15.75">
      <c r="A466" s="54"/>
      <c r="B466" s="54"/>
      <c r="C466" s="106"/>
      <c r="D466" s="2"/>
      <c r="E466" s="104"/>
      <c r="F466" s="62"/>
      <c r="G466" s="105"/>
    </row>
    <row r="467" spans="1:7" ht="15.75">
      <c r="A467" s="54"/>
      <c r="B467" s="54"/>
      <c r="C467" s="103" t="str">
        <f>A416&amp;" "&amp;C416</f>
        <v>F) OSTALI RADOVI</v>
      </c>
      <c r="D467" s="2"/>
      <c r="E467" s="104"/>
      <c r="F467" s="62" t="s">
        <v>87</v>
      </c>
      <c r="G467" s="105">
        <f>G445</f>
        <v>0</v>
      </c>
    </row>
    <row r="468" spans="1:7" ht="15.75">
      <c r="A468" s="54"/>
      <c r="B468" s="54"/>
      <c r="C468" s="3"/>
      <c r="D468" s="54"/>
      <c r="E468" s="56"/>
      <c r="F468" s="54"/>
      <c r="G468" s="57"/>
    </row>
    <row r="469" spans="1:7" ht="16.5" thickBot="1">
      <c r="A469" s="107"/>
      <c r="B469" s="107"/>
      <c r="C469" s="108"/>
      <c r="D469" s="107"/>
      <c r="E469" s="109"/>
      <c r="F469" s="107"/>
      <c r="G469" s="110"/>
    </row>
    <row r="470" spans="1:7" ht="16.5" thickTop="1">
      <c r="A470" s="54"/>
      <c r="B470" s="54"/>
      <c r="C470" s="3"/>
      <c r="D470" s="54"/>
      <c r="E470" s="56"/>
      <c r="F470" s="54"/>
      <c r="G470" s="57"/>
    </row>
    <row r="471" spans="1:7" ht="15.75">
      <c r="A471" s="54"/>
      <c r="B471" s="54" t="s">
        <v>72</v>
      </c>
      <c r="C471" s="111" t="str">
        <f>"UKUPNO "&amp;C2&amp;":"</f>
        <v>UKUPNO VODOVOD:</v>
      </c>
      <c r="D471" s="54"/>
      <c r="E471" s="56"/>
      <c r="F471" s="55" t="s">
        <v>87</v>
      </c>
      <c r="G471" s="57">
        <f>SUM(G455:G470)</f>
        <v>0</v>
      </c>
    </row>
    <row r="472" spans="1:7" ht="16.5" thickBot="1">
      <c r="A472" s="107"/>
      <c r="B472" s="107"/>
      <c r="C472" s="108"/>
      <c r="D472" s="107"/>
      <c r="E472" s="109"/>
      <c r="F472" s="107"/>
      <c r="G472" s="110"/>
    </row>
    <row r="473" spans="1:7" ht="15" thickTop="1"/>
  </sheetData>
  <mergeCells count="1">
    <mergeCell ref="A450:G450"/>
  </mergeCells>
  <pageMargins left="0.70866141732283472" right="0.70866141732283472" top="0.74803149606299213" bottom="0.74803149606299213" header="0.31496062992125984" footer="0.31496062992125984"/>
  <pageSetup paperSize="9" scale="83" firstPageNumber="9" fitToHeight="0" orientation="portrait" useFirstPageNumber="1" r:id="rId1"/>
  <headerFooter>
    <oddHeader>&amp;L&amp;8FLUM-ING d.o.o.</oddHeader>
    <oddFooter>&amp;L&amp;8Vodovodni ogranak i kanalizacijska
mreža u Banjolu, Vatrogasni dom-Brni&amp;R&amp;8&amp;P</oddFooter>
  </headerFooter>
  <rowBreaks count="22" manualBreakCount="22">
    <brk id="22" max="16383" man="1"/>
    <brk id="43" min="3" max="6" man="1"/>
    <brk id="68" min="3" max="6" man="1"/>
    <brk id="82" max="16383" man="1"/>
    <brk id="100" min="3" max="6" man="1"/>
    <brk id="112" max="16383" man="1"/>
    <brk id="118" min="3" max="6" man="1"/>
    <brk id="132" min="3" max="6" man="1"/>
    <brk id="163" min="3" max="6" man="1"/>
    <brk id="200" max="6" man="1"/>
    <brk id="235" max="6" man="1"/>
    <brk id="266" max="6" man="1"/>
    <brk id="290" max="6" man="1"/>
    <brk id="310" max="6" man="1"/>
    <brk id="331" max="6" man="1"/>
    <brk id="362" max="16383" man="1"/>
    <brk id="377" max="6" man="1"/>
    <brk id="397" min="3" max="6" man="1"/>
    <brk id="403" min="3" max="6" man="1"/>
    <brk id="414" max="16383" man="1"/>
    <brk id="434" min="3" max="6" man="1"/>
    <brk id="446" min="3"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4"/>
  <sheetViews>
    <sheetView showGridLines="0" showZeros="0" view="pageBreakPreview" topLeftCell="A236" zoomScale="90" zoomScaleNormal="100" zoomScaleSheetLayoutView="90" workbookViewId="0">
      <selection activeCell="J64" sqref="J64"/>
    </sheetView>
  </sheetViews>
  <sheetFormatPr defaultColWidth="9" defaultRowHeight="14.25"/>
  <cols>
    <col min="1" max="1" width="5.625" style="181" customWidth="1"/>
    <col min="2" max="2" width="5.625" style="8" customWidth="1"/>
    <col min="3" max="3" width="59.75" style="43" customWidth="1"/>
    <col min="4" max="4" width="2" style="10" bestFit="1" customWidth="1"/>
    <col min="5" max="5" width="8.875" style="10" bestFit="1" customWidth="1"/>
    <col min="6" max="6" width="3.5" style="10" bestFit="1" customWidth="1"/>
    <col min="7" max="7" width="11.125" style="8" bestFit="1" customWidth="1"/>
    <col min="8" max="16384" width="9" style="43"/>
  </cols>
  <sheetData>
    <row r="1" spans="1:7">
      <c r="A1" s="292"/>
      <c r="B1" s="231"/>
      <c r="C1" s="233"/>
      <c r="D1" s="232"/>
      <c r="E1" s="232"/>
      <c r="F1" s="232"/>
      <c r="G1" s="231"/>
    </row>
    <row r="2" spans="1:7" ht="18">
      <c r="A2" s="424" t="s">
        <v>101</v>
      </c>
      <c r="B2" s="425"/>
      <c r="C2" s="423" t="s">
        <v>166</v>
      </c>
    </row>
    <row r="3" spans="1:7" ht="15">
      <c r="A3" s="184"/>
      <c r="B3" s="16"/>
      <c r="C3" s="17"/>
      <c r="D3" s="4"/>
      <c r="E3" s="163"/>
      <c r="F3" s="4"/>
      <c r="G3" s="18"/>
    </row>
    <row r="4" spans="1:7" ht="15.75">
      <c r="A4" s="93" t="s">
        <v>1</v>
      </c>
      <c r="B4" s="62"/>
      <c r="C4" s="3" t="s">
        <v>2</v>
      </c>
      <c r="D4" s="2"/>
      <c r="E4" s="104"/>
      <c r="F4" s="2"/>
      <c r="G4" s="65"/>
    </row>
    <row r="5" spans="1:7" s="12" customFormat="1" ht="15">
      <c r="A5" s="184"/>
      <c r="B5" s="16"/>
      <c r="C5" s="17"/>
      <c r="D5" s="10"/>
      <c r="E5" s="180"/>
      <c r="F5" s="10"/>
      <c r="G5" s="20"/>
    </row>
    <row r="6" spans="1:7" ht="157.5">
      <c r="A6" s="184" t="s">
        <v>3</v>
      </c>
      <c r="B6" s="16"/>
      <c r="C6" s="21" t="s">
        <v>153</v>
      </c>
      <c r="D6" s="4"/>
      <c r="E6" s="163"/>
      <c r="F6" s="4"/>
      <c r="G6" s="66"/>
    </row>
    <row r="7" spans="1:7" ht="15">
      <c r="A7" s="185"/>
      <c r="B7" s="23" t="s">
        <v>84</v>
      </c>
      <c r="C7" s="149">
        <f>'I) ZAJEDNIČKI RADOVI'!E10</f>
        <v>184</v>
      </c>
      <c r="D7" s="24"/>
      <c r="E7" s="161"/>
      <c r="F7" s="24"/>
      <c r="G7" s="66"/>
    </row>
    <row r="8" spans="1:7" ht="15">
      <c r="A8" s="185"/>
      <c r="B8" s="23"/>
      <c r="C8" s="26" t="str">
        <f>"UKUPNO: "&amp;C9&amp;" m'"</f>
        <v>UKUPNO: 184 m'</v>
      </c>
      <c r="D8" s="24"/>
      <c r="E8" s="161"/>
      <c r="F8" s="24"/>
      <c r="G8" s="66"/>
    </row>
    <row r="9" spans="1:7" ht="15">
      <c r="A9" s="184"/>
      <c r="B9" s="13" t="s">
        <v>8</v>
      </c>
      <c r="C9" s="27">
        <f>C7</f>
        <v>184</v>
      </c>
      <c r="D9" s="7" t="s">
        <v>95</v>
      </c>
      <c r="E9" s="162"/>
      <c r="F9" s="14" t="s">
        <v>6</v>
      </c>
      <c r="G9" s="66">
        <f>C9*E9</f>
        <v>0</v>
      </c>
    </row>
    <row r="10" spans="1:7" ht="15">
      <c r="A10" s="223"/>
      <c r="B10" s="234"/>
      <c r="C10" s="243"/>
      <c r="D10" s="220"/>
      <c r="E10" s="236"/>
      <c r="F10" s="220"/>
      <c r="G10" s="229"/>
    </row>
    <row r="11" spans="1:7" ht="114.75">
      <c r="A11" s="184" t="s">
        <v>7</v>
      </c>
      <c r="C11" s="9" t="s">
        <v>265</v>
      </c>
      <c r="D11" s="344"/>
      <c r="E11" s="345"/>
      <c r="F11" s="346"/>
      <c r="G11" s="69"/>
    </row>
    <row r="12" spans="1:7" ht="15">
      <c r="A12" s="185"/>
      <c r="B12" s="23" t="s">
        <v>84</v>
      </c>
      <c r="C12" s="92">
        <v>8</v>
      </c>
      <c r="D12" s="24"/>
      <c r="E12" s="161"/>
      <c r="F12" s="24"/>
      <c r="G12" s="68"/>
    </row>
    <row r="13" spans="1:7" s="44" customFormat="1" ht="15">
      <c r="A13" s="185"/>
      <c r="B13" s="23"/>
      <c r="C13" s="318" t="str">
        <f>"UKUPNO: "&amp;C14&amp;" kom."</f>
        <v>UKUPNO: 8 kom.</v>
      </c>
      <c r="D13" s="24"/>
      <c r="E13" s="161"/>
      <c r="F13" s="24"/>
      <c r="G13" s="68"/>
    </row>
    <row r="14" spans="1:7" s="47" customFormat="1" ht="15">
      <c r="A14" s="185"/>
      <c r="B14" s="13" t="s">
        <v>4</v>
      </c>
      <c r="C14" s="81">
        <f>SUM(C12:C12)</f>
        <v>8</v>
      </c>
      <c r="D14" s="22" t="s">
        <v>95</v>
      </c>
      <c r="E14" s="162"/>
      <c r="F14" s="46" t="s">
        <v>6</v>
      </c>
      <c r="G14" s="66">
        <f>C14*E14</f>
        <v>0</v>
      </c>
    </row>
    <row r="15" spans="1:7" s="47" customFormat="1" ht="15">
      <c r="A15" s="185"/>
      <c r="B15" s="13"/>
      <c r="C15" s="81"/>
      <c r="D15" s="22"/>
      <c r="E15" s="162"/>
      <c r="F15" s="46"/>
      <c r="G15" s="66"/>
    </row>
    <row r="16" spans="1:7" s="47" customFormat="1" ht="15">
      <c r="A16" s="185"/>
      <c r="B16" s="13"/>
      <c r="C16" s="81"/>
      <c r="D16" s="22"/>
      <c r="E16" s="162"/>
      <c r="F16" s="46"/>
      <c r="G16" s="66"/>
    </row>
    <row r="17" spans="1:7" s="47" customFormat="1" ht="15">
      <c r="A17" s="185"/>
      <c r="B17" s="13"/>
      <c r="C17" s="81"/>
      <c r="D17" s="22"/>
      <c r="E17" s="162"/>
      <c r="F17" s="46"/>
      <c r="G17" s="66"/>
    </row>
    <row r="18" spans="1:7" s="151" customFormat="1" ht="16.5">
      <c r="A18" s="174"/>
      <c r="B18" s="8"/>
      <c r="C18" s="385"/>
      <c r="D18" s="10"/>
      <c r="E18" s="190"/>
      <c r="F18" s="10"/>
      <c r="G18" s="69"/>
    </row>
    <row r="19" spans="1:7" ht="15">
      <c r="A19" s="186"/>
      <c r="B19" s="50"/>
      <c r="C19" s="51"/>
      <c r="D19" s="52"/>
      <c r="E19" s="192"/>
      <c r="F19" s="52"/>
      <c r="G19" s="70"/>
    </row>
    <row r="20" spans="1:7" ht="15.75">
      <c r="A20" s="93" t="s">
        <v>1</v>
      </c>
      <c r="B20" s="55"/>
      <c r="C20" s="3" t="s">
        <v>14</v>
      </c>
      <c r="D20" s="54"/>
      <c r="E20" s="56"/>
      <c r="F20" s="54" t="s">
        <v>87</v>
      </c>
      <c r="G20" s="71">
        <f>SUM(G4:G19)</f>
        <v>0</v>
      </c>
    </row>
    <row r="21" spans="1:7" ht="15">
      <c r="A21" s="187"/>
      <c r="B21" s="58"/>
      <c r="C21" s="59"/>
      <c r="D21" s="60"/>
      <c r="E21" s="193"/>
      <c r="F21" s="60"/>
      <c r="G21" s="72"/>
    </row>
    <row r="22" spans="1:7" ht="15">
      <c r="A22" s="184"/>
      <c r="B22" s="16"/>
      <c r="C22" s="17"/>
      <c r="D22" s="4"/>
      <c r="E22" s="163"/>
      <c r="F22" s="4"/>
      <c r="G22" s="67"/>
    </row>
    <row r="23" spans="1:7" ht="15.75">
      <c r="A23" s="93" t="s">
        <v>18</v>
      </c>
      <c r="B23" s="55"/>
      <c r="C23" s="3" t="s">
        <v>19</v>
      </c>
      <c r="D23" s="54"/>
      <c r="E23" s="56"/>
      <c r="F23" s="54"/>
      <c r="G23" s="57"/>
    </row>
    <row r="24" spans="1:7" ht="15">
      <c r="A24" s="184"/>
      <c r="B24" s="16"/>
      <c r="C24" s="5"/>
      <c r="D24" s="4"/>
      <c r="E24" s="180"/>
      <c r="F24" s="4"/>
      <c r="G24" s="6"/>
    </row>
    <row r="25" spans="1:7" s="12" customFormat="1" ht="214.5">
      <c r="A25" s="184" t="s">
        <v>3</v>
      </c>
      <c r="B25" s="23"/>
      <c r="C25" s="73" t="s">
        <v>110</v>
      </c>
      <c r="D25" s="24"/>
      <c r="E25" s="161"/>
      <c r="F25" s="24"/>
      <c r="G25" s="64"/>
    </row>
    <row r="26" spans="1:7" s="12" customFormat="1" ht="199.5">
      <c r="A26" s="184"/>
      <c r="B26" s="23"/>
      <c r="C26" s="73" t="s">
        <v>25</v>
      </c>
      <c r="D26" s="24"/>
      <c r="E26" s="161"/>
      <c r="F26" s="24"/>
      <c r="G26" s="64"/>
    </row>
    <row r="27" spans="1:7" ht="21" customHeight="1">
      <c r="A27" s="223"/>
      <c r="B27" s="23"/>
      <c r="C27" s="375" t="s">
        <v>266</v>
      </c>
      <c r="D27" s="24"/>
      <c r="E27" s="219"/>
      <c r="F27" s="241"/>
      <c r="G27" s="262"/>
    </row>
    <row r="28" spans="1:7" ht="15">
      <c r="A28" s="238"/>
      <c r="B28" s="23" t="s">
        <v>84</v>
      </c>
      <c r="C28" s="168" t="str">
        <f>"- iz iskaza masa (volumen iskopa): "&amp;ROUNDUP((292.31),1)&amp;" m³"</f>
        <v>- iz iskaza masa (volumen iskopa): 292,4 m³</v>
      </c>
      <c r="D28" s="89"/>
      <c r="E28" s="293"/>
      <c r="F28" s="284"/>
      <c r="G28" s="285"/>
    </row>
    <row r="29" spans="1:7" ht="15">
      <c r="A29" s="238"/>
      <c r="B29" s="239"/>
      <c r="C29" s="382" t="str">
        <f>"- dodatna proširenja za revizijska okna: 8 × 0,6×1,6×1,5 = "&amp;ROUNDUP((8*0.6*1.6*1.5),2)&amp;" m³"</f>
        <v>- dodatna proširenja za revizijska okna: 8 × 0,6×1,6×1,5 = 11,52 m³</v>
      </c>
      <c r="D29" s="284"/>
      <c r="E29" s="293"/>
      <c r="F29" s="284"/>
      <c r="G29" s="285"/>
    </row>
    <row r="30" spans="1:7" s="173" customFormat="1" ht="15">
      <c r="A30" s="170"/>
      <c r="B30" s="177"/>
      <c r="C30" s="391" t="str">
        <f>"UKUPNO: "&amp;ROUNDUP((292.4+11.52),1)&amp;" m³"</f>
        <v>UKUPNO: 304 m³</v>
      </c>
      <c r="D30" s="171"/>
      <c r="E30" s="195"/>
      <c r="F30" s="171"/>
      <c r="G30" s="172"/>
    </row>
    <row r="31" spans="1:7" s="173" customFormat="1" ht="15">
      <c r="A31" s="170"/>
      <c r="B31" s="177"/>
      <c r="C31" s="178"/>
      <c r="D31" s="171"/>
      <c r="E31" s="195"/>
      <c r="F31" s="171"/>
      <c r="G31" s="172"/>
    </row>
    <row r="32" spans="1:7" ht="15">
      <c r="A32" s="185"/>
      <c r="B32" s="33" t="s">
        <v>20</v>
      </c>
      <c r="C32" s="167">
        <v>304</v>
      </c>
      <c r="D32" s="22" t="s">
        <v>95</v>
      </c>
      <c r="E32" s="162"/>
      <c r="F32" s="14" t="s">
        <v>6</v>
      </c>
      <c r="G32" s="15">
        <f>+E32*C32</f>
        <v>0</v>
      </c>
    </row>
    <row r="34" spans="1:7" ht="129">
      <c r="A34" s="184" t="s">
        <v>7</v>
      </c>
      <c r="B34" s="16"/>
      <c r="C34" s="73" t="s">
        <v>90</v>
      </c>
      <c r="D34" s="4"/>
      <c r="E34" s="163"/>
      <c r="F34" s="4"/>
      <c r="G34" s="18"/>
    </row>
    <row r="35" spans="1:7" ht="15">
      <c r="A35" s="174"/>
      <c r="C35" s="78" t="s">
        <v>181</v>
      </c>
      <c r="E35" s="96"/>
      <c r="G35" s="75"/>
    </row>
    <row r="36" spans="1:7" ht="15">
      <c r="A36" s="185"/>
      <c r="B36" s="23" t="s">
        <v>84</v>
      </c>
      <c r="C36" s="379" t="str">
        <f>"- planiranje rova: 146,50 m²"</f>
        <v>- planiranje rova: 146,50 m²</v>
      </c>
      <c r="D36" s="24"/>
      <c r="E36" s="161"/>
      <c r="F36" s="24"/>
      <c r="G36" s="25"/>
    </row>
    <row r="37" spans="1:7" s="200" customFormat="1" ht="15">
      <c r="A37" s="188"/>
      <c r="B37" s="196"/>
      <c r="C37" s="201" t="str">
        <f>"UKUPNO: "&amp;ROUNDUP((146.5),2)&amp;" m²"</f>
        <v>UKUPNO: 146,5 m²</v>
      </c>
      <c r="D37" s="197"/>
      <c r="E37" s="198"/>
      <c r="F37" s="197"/>
      <c r="G37" s="199"/>
    </row>
    <row r="38" spans="1:7" s="200" customFormat="1" ht="15">
      <c r="A38" s="188"/>
      <c r="B38" s="196"/>
      <c r="C38" s="201"/>
      <c r="D38" s="197"/>
      <c r="E38" s="198"/>
      <c r="F38" s="197"/>
      <c r="G38" s="199"/>
    </row>
    <row r="39" spans="1:7" ht="15">
      <c r="A39" s="185"/>
      <c r="B39" s="33" t="s">
        <v>13</v>
      </c>
      <c r="C39" s="167">
        <f>ROUNDUP(146.5,0)</f>
        <v>147</v>
      </c>
      <c r="D39" s="22" t="s">
        <v>95</v>
      </c>
      <c r="E39" s="162"/>
      <c r="F39" s="14" t="s">
        <v>6</v>
      </c>
      <c r="G39" s="15">
        <f>+E39*C39</f>
        <v>0</v>
      </c>
    </row>
    <row r="40" spans="1:7" ht="15">
      <c r="A40" s="184"/>
      <c r="B40" s="16"/>
      <c r="C40" s="28"/>
      <c r="D40" s="4"/>
      <c r="E40" s="180"/>
      <c r="F40" s="4"/>
      <c r="G40" s="6"/>
    </row>
    <row r="41" spans="1:7" ht="115.5">
      <c r="A41" s="184" t="s">
        <v>41</v>
      </c>
      <c r="B41" s="16"/>
      <c r="C41" s="76" t="s">
        <v>267</v>
      </c>
      <c r="D41" s="4"/>
      <c r="E41" s="163"/>
      <c r="F41" s="4"/>
      <c r="G41" s="18"/>
    </row>
    <row r="42" spans="1:7" ht="15">
      <c r="A42" s="174"/>
      <c r="C42" s="78" t="s">
        <v>119</v>
      </c>
      <c r="E42" s="96"/>
      <c r="G42" s="75"/>
    </row>
    <row r="43" spans="1:7" ht="15">
      <c r="A43" s="188"/>
      <c r="B43" s="23" t="s">
        <v>84</v>
      </c>
      <c r="C43" s="168" t="str">
        <f>"- pješčana posteljica: "&amp;ROUNDUP((27.8),1)&amp;" m³"</f>
        <v>- pješčana posteljica: 27,8 m³</v>
      </c>
      <c r="D43" s="164"/>
      <c r="E43" s="392"/>
      <c r="F43" s="164"/>
      <c r="G43" s="393"/>
    </row>
    <row r="44" spans="1:7" s="200" customFormat="1" ht="15">
      <c r="A44" s="188"/>
      <c r="B44" s="196"/>
      <c r="C44" s="374" t="str">
        <f>"UKUPNO: "&amp;ROUNDUP((27.8),1)&amp;" m³"</f>
        <v>UKUPNO: 27,8 m³</v>
      </c>
      <c r="D44" s="197"/>
      <c r="E44" s="198"/>
      <c r="F44" s="197"/>
      <c r="G44" s="199"/>
    </row>
    <row r="45" spans="1:7" s="200" customFormat="1" ht="15">
      <c r="A45" s="188"/>
      <c r="B45" s="196"/>
      <c r="C45" s="201"/>
      <c r="D45" s="197"/>
      <c r="E45" s="198"/>
      <c r="F45" s="197"/>
      <c r="G45" s="199"/>
    </row>
    <row r="46" spans="1:7" ht="15">
      <c r="A46" s="185"/>
      <c r="B46" s="33" t="s">
        <v>20</v>
      </c>
      <c r="C46" s="167">
        <f>ROUNDUP(27.8,0)</f>
        <v>28</v>
      </c>
      <c r="D46" s="22" t="s">
        <v>95</v>
      </c>
      <c r="E46" s="162"/>
      <c r="F46" s="14" t="s">
        <v>6</v>
      </c>
      <c r="G46" s="15">
        <f>+E46*C46</f>
        <v>0</v>
      </c>
    </row>
    <row r="47" spans="1:7" ht="15">
      <c r="A47" s="223"/>
      <c r="B47" s="234"/>
      <c r="C47" s="265"/>
      <c r="D47" s="220"/>
      <c r="E47" s="236"/>
      <c r="F47" s="220"/>
      <c r="G47" s="261"/>
    </row>
    <row r="48" spans="1:7" ht="123.75" customHeight="1">
      <c r="A48" s="184" t="s">
        <v>42</v>
      </c>
      <c r="C48" s="76" t="s">
        <v>261</v>
      </c>
      <c r="E48" s="202"/>
      <c r="G48" s="77"/>
    </row>
    <row r="49" spans="1:7" ht="15">
      <c r="A49" s="174"/>
      <c r="C49" s="78" t="s">
        <v>120</v>
      </c>
      <c r="E49" s="96"/>
      <c r="G49" s="75"/>
    </row>
    <row r="50" spans="1:7" ht="15">
      <c r="A50" s="188"/>
      <c r="B50" s="23" t="s">
        <v>84</v>
      </c>
      <c r="C50" s="168" t="str">
        <f>"- pješčana obloga: "&amp;ROUNDUP((83.71),1)&amp;" m³"</f>
        <v>- pješčana obloga: 83,8 m³</v>
      </c>
      <c r="D50" s="164"/>
      <c r="E50" s="392"/>
      <c r="F50" s="164"/>
      <c r="G50" s="393"/>
    </row>
    <row r="51" spans="1:7" s="200" customFormat="1" ht="15">
      <c r="A51" s="188"/>
      <c r="B51" s="196"/>
      <c r="C51" s="374" t="str">
        <f>"UKUPNO: "&amp;ROUNDUP((83.71),1)&amp;" m³"</f>
        <v>UKUPNO: 83,8 m³</v>
      </c>
      <c r="D51" s="197"/>
      <c r="E51" s="198"/>
      <c r="F51" s="197"/>
      <c r="G51" s="199"/>
    </row>
    <row r="52" spans="1:7" s="200" customFormat="1" ht="15">
      <c r="A52" s="188"/>
      <c r="B52" s="196"/>
      <c r="C52" s="201"/>
      <c r="D52" s="197"/>
      <c r="E52" s="198"/>
      <c r="F52" s="197"/>
      <c r="G52" s="199"/>
    </row>
    <row r="53" spans="1:7" ht="15">
      <c r="A53" s="185"/>
      <c r="B53" s="33" t="s">
        <v>20</v>
      </c>
      <c r="C53" s="167">
        <f>ROUNDUP(83.71,0)</f>
        <v>84</v>
      </c>
      <c r="D53" s="22" t="s">
        <v>95</v>
      </c>
      <c r="E53" s="162"/>
      <c r="F53" s="14" t="s">
        <v>6</v>
      </c>
      <c r="G53" s="15">
        <f>+E53*C53</f>
        <v>0</v>
      </c>
    </row>
    <row r="54" spans="1:7" ht="15">
      <c r="A54" s="223"/>
      <c r="B54" s="234"/>
      <c r="C54" s="265"/>
      <c r="D54" s="220"/>
      <c r="E54" s="236"/>
      <c r="F54" s="220"/>
      <c r="G54" s="261"/>
    </row>
    <row r="55" spans="1:7" ht="111.75" customHeight="1">
      <c r="A55" s="174" t="s">
        <v>43</v>
      </c>
      <c r="C55" s="76" t="s">
        <v>268</v>
      </c>
      <c r="E55" s="202"/>
      <c r="G55" s="77"/>
    </row>
    <row r="56" spans="1:7" ht="15">
      <c r="A56" s="174"/>
      <c r="C56" s="78" t="s">
        <v>123</v>
      </c>
      <c r="E56" s="96"/>
      <c r="G56" s="75"/>
    </row>
    <row r="57" spans="1:7" ht="15">
      <c r="A57" s="188"/>
      <c r="B57" s="23" t="s">
        <v>84</v>
      </c>
      <c r="C57" s="168" t="str">
        <f>"- zamjenski materijal: "&amp;ROUNDUP((96.75),1)&amp;" m³"</f>
        <v>- zamjenski materijal: 96,8 m³</v>
      </c>
      <c r="D57" s="164"/>
      <c r="E57" s="392"/>
      <c r="F57" s="164"/>
      <c r="G57" s="393"/>
    </row>
    <row r="58" spans="1:7" s="200" customFormat="1" ht="15">
      <c r="A58" s="188"/>
      <c r="B58" s="196"/>
      <c r="C58" s="374" t="str">
        <f>"UKUPNO: "&amp;ROUNDUP((96.75),1)&amp;" m³"</f>
        <v>UKUPNO: 96,8 m³</v>
      </c>
      <c r="D58" s="197"/>
      <c r="E58" s="198"/>
      <c r="F58" s="197"/>
      <c r="G58" s="199"/>
    </row>
    <row r="59" spans="1:7" s="200" customFormat="1" ht="15">
      <c r="A59" s="188"/>
      <c r="B59" s="196"/>
      <c r="C59" s="201"/>
      <c r="D59" s="197"/>
      <c r="E59" s="198"/>
      <c r="F59" s="197"/>
      <c r="G59" s="199"/>
    </row>
    <row r="60" spans="1:7" ht="15">
      <c r="A60" s="185"/>
      <c r="B60" s="33" t="s">
        <v>20</v>
      </c>
      <c r="C60" s="167">
        <f>ROUNDUP(96.75,0)</f>
        <v>97</v>
      </c>
      <c r="D60" s="22" t="s">
        <v>95</v>
      </c>
      <c r="E60" s="162"/>
      <c r="F60" s="14" t="s">
        <v>6</v>
      </c>
      <c r="G60" s="15">
        <f>+E60*C60</f>
        <v>0</v>
      </c>
    </row>
    <row r="61" spans="1:7" ht="15">
      <c r="A61" s="223"/>
      <c r="B61" s="225"/>
      <c r="C61" s="277"/>
      <c r="D61" s="226"/>
      <c r="E61" s="278"/>
      <c r="F61" s="228"/>
      <c r="G61" s="264"/>
    </row>
    <row r="62" spans="1:7" ht="186">
      <c r="A62" s="184" t="s">
        <v>44</v>
      </c>
      <c r="C62" s="76" t="s">
        <v>269</v>
      </c>
      <c r="E62" s="202"/>
      <c r="G62" s="77"/>
    </row>
    <row r="63" spans="1:7" ht="15">
      <c r="A63" s="185"/>
      <c r="B63" s="23" t="s">
        <v>84</v>
      </c>
      <c r="C63" s="168" t="str">
        <f>"8×2,2 = "&amp;ROUNDUP((8*2.2),2)&amp;" m³"</f>
        <v>8×2,2 = 17,6 m³</v>
      </c>
      <c r="D63" s="89"/>
      <c r="E63" s="394"/>
      <c r="F63" s="89"/>
      <c r="G63" s="90"/>
    </row>
    <row r="64" spans="1:7" s="173" customFormat="1" ht="15">
      <c r="A64" s="170"/>
      <c r="B64" s="177"/>
      <c r="C64" s="391" t="str">
        <f>"UKUPNO: "&amp;ROUNDUP((17.6),2)&amp;" m³"</f>
        <v>UKUPNO: 17,6 m³</v>
      </c>
      <c r="D64" s="171"/>
      <c r="E64" s="195"/>
      <c r="F64" s="171"/>
      <c r="G64" s="172"/>
    </row>
    <row r="65" spans="1:7" s="200" customFormat="1" ht="15">
      <c r="A65" s="188"/>
      <c r="B65" s="196"/>
      <c r="C65" s="201"/>
      <c r="D65" s="197"/>
      <c r="E65" s="198"/>
      <c r="F65" s="197"/>
      <c r="G65" s="199"/>
    </row>
    <row r="66" spans="1:7" s="12" customFormat="1" ht="15">
      <c r="A66" s="185"/>
      <c r="B66" s="33" t="s">
        <v>20</v>
      </c>
      <c r="C66" s="27">
        <f>ROUNDUP(17.6,0)</f>
        <v>18</v>
      </c>
      <c r="D66" s="22" t="s">
        <v>95</v>
      </c>
      <c r="E66" s="162"/>
      <c r="F66" s="14" t="s">
        <v>6</v>
      </c>
      <c r="G66" s="66">
        <f>C66*E66</f>
        <v>0</v>
      </c>
    </row>
    <row r="67" spans="1:7" ht="15">
      <c r="A67" s="223"/>
      <c r="B67" s="225"/>
      <c r="C67" s="277"/>
      <c r="D67" s="226"/>
      <c r="E67" s="278"/>
      <c r="F67" s="228"/>
      <c r="G67" s="264"/>
    </row>
    <row r="68" spans="1:7" s="12" customFormat="1" ht="186">
      <c r="A68" s="184" t="s">
        <v>47</v>
      </c>
      <c r="B68" s="16"/>
      <c r="C68" s="29" t="s">
        <v>270</v>
      </c>
      <c r="D68" s="4"/>
      <c r="E68" s="163"/>
      <c r="F68" s="4"/>
      <c r="G68" s="6"/>
    </row>
    <row r="69" spans="1:7" s="12" customFormat="1" ht="15">
      <c r="A69" s="174"/>
      <c r="B69" s="8"/>
      <c r="C69" s="78" t="s">
        <v>126</v>
      </c>
      <c r="D69" s="10"/>
      <c r="E69" s="194"/>
      <c r="F69" s="10"/>
      <c r="G69" s="75"/>
    </row>
    <row r="70" spans="1:7" ht="15">
      <c r="A70" s="395"/>
      <c r="B70" s="23" t="s">
        <v>84</v>
      </c>
      <c r="C70" s="205" t="str">
        <f>"304 × 1,35 = "&amp;ROUNDUP(((304)*1.35),0)&amp;" m³"</f>
        <v>304 × 1,35 = 411 m³</v>
      </c>
      <c r="D70" s="4"/>
      <c r="E70" s="203"/>
      <c r="F70" s="4"/>
      <c r="G70" s="18"/>
    </row>
    <row r="71" spans="1:7" ht="15">
      <c r="A71" s="185" t="s">
        <v>53</v>
      </c>
      <c r="B71" s="34"/>
      <c r="C71" s="80" t="s">
        <v>22</v>
      </c>
      <c r="D71" s="24"/>
      <c r="E71" s="161"/>
      <c r="F71" s="24"/>
      <c r="G71" s="6" t="s">
        <v>11</v>
      </c>
    </row>
    <row r="72" spans="1:7" ht="15">
      <c r="A72" s="185"/>
      <c r="B72" s="13" t="s">
        <v>20</v>
      </c>
      <c r="C72" s="27">
        <f>ROUNDUP((304)*1.35,0)</f>
        <v>411</v>
      </c>
      <c r="D72" s="22" t="s">
        <v>95</v>
      </c>
      <c r="E72" s="204"/>
      <c r="F72" s="14" t="s">
        <v>6</v>
      </c>
      <c r="G72" s="15">
        <f>+E72*C72</f>
        <v>0</v>
      </c>
    </row>
    <row r="73" spans="1:7" ht="15">
      <c r="A73" s="185" t="s">
        <v>271</v>
      </c>
      <c r="B73" s="34"/>
      <c r="C73" s="80" t="s">
        <v>23</v>
      </c>
      <c r="D73" s="24"/>
      <c r="E73" s="161"/>
      <c r="F73" s="24"/>
      <c r="G73" s="6" t="s">
        <v>11</v>
      </c>
    </row>
    <row r="74" spans="1:7" ht="15">
      <c r="A74" s="185"/>
      <c r="B74" s="13" t="s">
        <v>20</v>
      </c>
      <c r="C74" s="27">
        <f>C72</f>
        <v>411</v>
      </c>
      <c r="D74" s="22" t="s">
        <v>95</v>
      </c>
      <c r="E74" s="204"/>
      <c r="F74" s="14" t="s">
        <v>6</v>
      </c>
      <c r="G74" s="15">
        <f>+E74*C74</f>
        <v>0</v>
      </c>
    </row>
    <row r="75" spans="1:7" ht="15">
      <c r="A75" s="185"/>
      <c r="B75" s="13"/>
      <c r="C75" s="27"/>
      <c r="D75" s="22"/>
      <c r="E75" s="204"/>
      <c r="F75" s="14"/>
      <c r="G75" s="15"/>
    </row>
    <row r="76" spans="1:7" ht="15">
      <c r="A76" s="185"/>
      <c r="B76" s="13"/>
      <c r="C76" s="27"/>
      <c r="D76" s="22"/>
      <c r="E76" s="204"/>
      <c r="F76" s="14"/>
      <c r="G76" s="15"/>
    </row>
    <row r="77" spans="1:7" ht="15">
      <c r="A77" s="185"/>
      <c r="B77" s="13"/>
      <c r="C77" s="27"/>
      <c r="D77" s="22"/>
      <c r="E77" s="204"/>
      <c r="F77" s="14"/>
      <c r="G77" s="15"/>
    </row>
    <row r="78" spans="1:7" s="12" customFormat="1" ht="15">
      <c r="A78" s="185"/>
      <c r="B78" s="23"/>
      <c r="C78" s="63"/>
      <c r="D78" s="24"/>
      <c r="E78" s="180"/>
      <c r="F78" s="24"/>
      <c r="G78" s="6"/>
    </row>
    <row r="79" spans="1:7" ht="15">
      <c r="A79" s="186"/>
      <c r="B79" s="50"/>
      <c r="C79" s="51"/>
      <c r="D79" s="52"/>
      <c r="E79" s="192"/>
      <c r="F79" s="52"/>
      <c r="G79" s="53"/>
    </row>
    <row r="80" spans="1:7" ht="15.75">
      <c r="A80" s="93" t="s">
        <v>18</v>
      </c>
      <c r="B80" s="55"/>
      <c r="C80" s="3" t="s">
        <v>24</v>
      </c>
      <c r="D80" s="54"/>
      <c r="E80" s="56"/>
      <c r="F80" s="55" t="s">
        <v>87</v>
      </c>
      <c r="G80" s="57">
        <f>SUM(G23:G79)</f>
        <v>0</v>
      </c>
    </row>
    <row r="81" spans="1:7" ht="15">
      <c r="A81" s="187"/>
      <c r="B81" s="58"/>
      <c r="C81" s="59"/>
      <c r="D81" s="60"/>
      <c r="E81" s="193"/>
      <c r="F81" s="60"/>
      <c r="G81" s="61"/>
    </row>
    <row r="82" spans="1:7" ht="15">
      <c r="A82" s="223"/>
      <c r="B82" s="234"/>
      <c r="C82" s="235"/>
      <c r="D82" s="220"/>
      <c r="E82" s="221"/>
      <c r="F82" s="220"/>
      <c r="G82" s="222"/>
    </row>
    <row r="83" spans="1:7" ht="15.75">
      <c r="A83" s="93" t="s">
        <v>27</v>
      </c>
      <c r="B83" s="55"/>
      <c r="C83" s="3" t="s">
        <v>28</v>
      </c>
      <c r="D83" s="54"/>
      <c r="E83" s="56"/>
      <c r="F83" s="54"/>
      <c r="G83" s="327"/>
    </row>
    <row r="84" spans="1:7" s="151" customFormat="1" ht="16.5">
      <c r="A84" s="174"/>
      <c r="B84" s="8"/>
      <c r="C84" s="385"/>
      <c r="D84" s="10"/>
      <c r="E84" s="190"/>
      <c r="F84" s="10"/>
      <c r="G84" s="69"/>
    </row>
    <row r="85" spans="1:7" ht="243">
      <c r="A85" s="174" t="s">
        <v>3</v>
      </c>
      <c r="C85" s="48" t="s">
        <v>311</v>
      </c>
      <c r="E85" s="180"/>
      <c r="G85" s="6"/>
    </row>
    <row r="86" spans="1:7" ht="15">
      <c r="A86" s="184"/>
      <c r="B86" s="13" t="s">
        <v>4</v>
      </c>
      <c r="C86" s="37">
        <v>1</v>
      </c>
      <c r="D86" s="7" t="s">
        <v>95</v>
      </c>
      <c r="E86" s="162"/>
      <c r="F86" s="14" t="s">
        <v>6</v>
      </c>
      <c r="G86" s="15">
        <f>+E86*C86</f>
        <v>0</v>
      </c>
    </row>
    <row r="87" spans="1:7" s="151" customFormat="1" ht="16.5">
      <c r="A87" s="230"/>
      <c r="B87" s="231"/>
      <c r="C87" s="246"/>
      <c r="D87" s="232"/>
      <c r="E87" s="247"/>
      <c r="F87" s="232"/>
      <c r="G87" s="244"/>
    </row>
    <row r="88" spans="1:7" ht="101.25">
      <c r="A88" s="174" t="s">
        <v>7</v>
      </c>
      <c r="C88" s="9" t="s">
        <v>272</v>
      </c>
      <c r="E88" s="180"/>
      <c r="G88" s="6"/>
    </row>
    <row r="89" spans="1:7" ht="57.75">
      <c r="A89" s="174" t="s">
        <v>29</v>
      </c>
      <c r="C89" s="396" t="s">
        <v>273</v>
      </c>
      <c r="E89" s="180"/>
      <c r="G89" s="6"/>
    </row>
    <row r="90" spans="1:7" ht="15">
      <c r="A90" s="184"/>
      <c r="B90" s="23" t="s">
        <v>84</v>
      </c>
      <c r="C90" s="92">
        <v>8</v>
      </c>
      <c r="D90" s="4"/>
      <c r="E90" s="163"/>
      <c r="F90" s="4"/>
      <c r="G90" s="18"/>
    </row>
    <row r="91" spans="1:7" ht="15">
      <c r="A91" s="185"/>
      <c r="B91" s="23"/>
      <c r="C91" s="26" t="str">
        <f>"UKUPNO: "&amp;C92&amp;" kom."</f>
        <v>UKUPNO: 8 kom.</v>
      </c>
      <c r="D91" s="24"/>
      <c r="E91" s="161"/>
      <c r="F91" s="24"/>
      <c r="G91" s="25"/>
    </row>
    <row r="92" spans="1:7" ht="15">
      <c r="A92" s="184"/>
      <c r="B92" s="13" t="s">
        <v>4</v>
      </c>
      <c r="C92" s="37">
        <f>ROUNDUP(SUM(C90:C90),0)</f>
        <v>8</v>
      </c>
      <c r="D92" s="7" t="s">
        <v>95</v>
      </c>
      <c r="E92" s="162"/>
      <c r="F92" s="14" t="s">
        <v>6</v>
      </c>
      <c r="G92" s="15">
        <f>+E92*C92</f>
        <v>0</v>
      </c>
    </row>
    <row r="93" spans="1:7" ht="15">
      <c r="A93" s="223"/>
      <c r="B93" s="234"/>
      <c r="C93" s="235"/>
      <c r="D93" s="220"/>
      <c r="E93" s="221"/>
      <c r="F93" s="220"/>
      <c r="G93" s="261"/>
    </row>
    <row r="94" spans="1:7" ht="160.5">
      <c r="A94" s="174" t="s">
        <v>41</v>
      </c>
      <c r="C94" s="9" t="s">
        <v>338</v>
      </c>
      <c r="E94" s="180"/>
      <c r="G94" s="6"/>
    </row>
    <row r="95" spans="1:7" ht="15">
      <c r="A95" s="185"/>
      <c r="B95" s="23" t="s">
        <v>84</v>
      </c>
      <c r="C95" s="92">
        <v>8</v>
      </c>
      <c r="D95" s="24"/>
      <c r="E95" s="161"/>
      <c r="F95" s="24"/>
      <c r="G95" s="68"/>
    </row>
    <row r="96" spans="1:7" s="44" customFormat="1" ht="15">
      <c r="A96" s="185"/>
      <c r="B96" s="23"/>
      <c r="C96" s="318" t="str">
        <f>"UKUPNO: "&amp;C97&amp;" kom."</f>
        <v>UKUPNO: 8 kom.</v>
      </c>
      <c r="D96" s="24"/>
      <c r="E96" s="161"/>
      <c r="F96" s="24"/>
      <c r="G96" s="68"/>
    </row>
    <row r="97" spans="1:7" ht="15">
      <c r="A97" s="174"/>
      <c r="B97" s="36" t="s">
        <v>4</v>
      </c>
      <c r="C97" s="40">
        <f>SUM(C95:C95)</f>
        <v>8</v>
      </c>
      <c r="D97" s="30" t="s">
        <v>95</v>
      </c>
      <c r="E97" s="339"/>
      <c r="F97" s="14" t="s">
        <v>6</v>
      </c>
      <c r="G97" s="66">
        <f>C97*E97</f>
        <v>0</v>
      </c>
    </row>
    <row r="98" spans="1:7" ht="15">
      <c r="A98" s="174"/>
      <c r="B98" s="36"/>
      <c r="C98" s="40"/>
      <c r="D98" s="30"/>
      <c r="E98" s="339"/>
      <c r="F98" s="14"/>
      <c r="G98" s="66"/>
    </row>
    <row r="99" spans="1:7" ht="15">
      <c r="A99" s="174"/>
      <c r="B99" s="36"/>
      <c r="C99" s="40"/>
      <c r="D99" s="30"/>
      <c r="E99" s="339"/>
      <c r="F99" s="14"/>
      <c r="G99" s="66"/>
    </row>
    <row r="100" spans="1:7" ht="15">
      <c r="A100" s="174"/>
      <c r="B100" s="36"/>
      <c r="C100" s="40"/>
      <c r="D100" s="30"/>
      <c r="E100" s="339"/>
      <c r="F100" s="14"/>
      <c r="G100" s="66"/>
    </row>
    <row r="101" spans="1:7" ht="15">
      <c r="A101" s="187"/>
      <c r="B101" s="58"/>
      <c r="C101" s="59"/>
      <c r="D101" s="60"/>
      <c r="E101" s="193"/>
      <c r="F101" s="60"/>
      <c r="G101" s="61"/>
    </row>
    <row r="102" spans="1:7" ht="15">
      <c r="A102" s="186"/>
      <c r="B102" s="50"/>
      <c r="C102" s="51"/>
      <c r="D102" s="52"/>
      <c r="E102" s="192"/>
      <c r="F102" s="52"/>
      <c r="G102" s="53"/>
    </row>
    <row r="103" spans="1:7" ht="15.75">
      <c r="A103" s="182" t="s">
        <v>27</v>
      </c>
      <c r="B103" s="328"/>
      <c r="C103" s="329" t="s">
        <v>30</v>
      </c>
      <c r="D103" s="54"/>
      <c r="E103" s="56"/>
      <c r="F103" s="55" t="s">
        <v>87</v>
      </c>
      <c r="G103" s="57">
        <f>SUM(G83:G102)</f>
        <v>0</v>
      </c>
    </row>
    <row r="104" spans="1:7" ht="15">
      <c r="A104" s="187"/>
      <c r="B104" s="58"/>
      <c r="C104" s="59"/>
      <c r="D104" s="60"/>
      <c r="E104" s="193"/>
      <c r="F104" s="60"/>
      <c r="G104" s="61"/>
    </row>
    <row r="105" spans="1:7" ht="15">
      <c r="A105" s="223"/>
      <c r="B105" s="234"/>
      <c r="C105" s="235"/>
      <c r="D105" s="220"/>
      <c r="E105" s="221"/>
      <c r="F105" s="220"/>
      <c r="G105" s="222"/>
    </row>
    <row r="106" spans="1:7" ht="15.75">
      <c r="A106" s="93" t="s">
        <v>31</v>
      </c>
      <c r="B106" s="55"/>
      <c r="C106" s="3" t="s">
        <v>79</v>
      </c>
      <c r="D106" s="54"/>
      <c r="E106" s="56"/>
      <c r="F106" s="54"/>
      <c r="G106" s="57"/>
    </row>
    <row r="107" spans="1:7" s="12" customFormat="1" ht="15">
      <c r="A107" s="174"/>
      <c r="B107" s="8"/>
      <c r="C107" s="82"/>
      <c r="D107" s="10"/>
      <c r="E107" s="180"/>
      <c r="F107" s="10"/>
      <c r="G107" s="6"/>
    </row>
    <row r="108" spans="1:7" s="12" customFormat="1" ht="300">
      <c r="A108" s="174"/>
      <c r="B108" s="8"/>
      <c r="C108" s="19" t="s">
        <v>34</v>
      </c>
      <c r="D108" s="10"/>
      <c r="E108" s="180"/>
      <c r="F108" s="10"/>
      <c r="G108" s="6"/>
    </row>
    <row r="109" spans="1:7" ht="174" customHeight="1">
      <c r="A109" s="184" t="s">
        <v>3</v>
      </c>
      <c r="B109" s="4"/>
      <c r="C109" s="21" t="s">
        <v>279</v>
      </c>
      <c r="D109" s="4"/>
      <c r="E109" s="163"/>
      <c r="F109" s="4"/>
      <c r="G109" s="18"/>
    </row>
    <row r="110" spans="1:7" ht="99.75">
      <c r="A110" s="184"/>
      <c r="B110" s="4"/>
      <c r="C110" s="21" t="s">
        <v>62</v>
      </c>
      <c r="D110" s="4"/>
      <c r="E110" s="163"/>
      <c r="F110" s="4"/>
      <c r="G110" s="18"/>
    </row>
    <row r="111" spans="1:7" ht="186">
      <c r="A111" s="184"/>
      <c r="B111" s="4"/>
      <c r="C111" s="21" t="s">
        <v>280</v>
      </c>
      <c r="D111" s="4"/>
      <c r="E111" s="163"/>
      <c r="F111" s="4"/>
      <c r="G111" s="18"/>
    </row>
    <row r="112" spans="1:7" ht="29.25">
      <c r="A112" s="184" t="s">
        <v>15</v>
      </c>
      <c r="B112" s="4"/>
      <c r="C112" s="83" t="s">
        <v>281</v>
      </c>
      <c r="D112" s="4"/>
      <c r="E112" s="163"/>
      <c r="F112" s="4"/>
      <c r="G112" s="18"/>
    </row>
    <row r="113" spans="1:7" ht="72.75">
      <c r="A113" s="184"/>
      <c r="B113" s="13"/>
      <c r="C113" s="84" t="s">
        <v>282</v>
      </c>
      <c r="D113" s="7"/>
      <c r="E113" s="162"/>
      <c r="F113" s="14"/>
      <c r="G113" s="15"/>
    </row>
    <row r="114" spans="1:7" ht="15">
      <c r="A114" s="185"/>
      <c r="B114" s="23" t="s">
        <v>84</v>
      </c>
      <c r="C114" s="149">
        <v>184</v>
      </c>
      <c r="D114" s="24"/>
      <c r="E114" s="161"/>
      <c r="F114" s="24"/>
      <c r="G114" s="25"/>
    </row>
    <row r="115" spans="1:7" ht="15">
      <c r="A115" s="185"/>
      <c r="B115" s="23"/>
      <c r="C115" s="26" t="str">
        <f>"UKUPNO: "&amp;C116&amp;" m'"</f>
        <v>UKUPNO: 184 m'</v>
      </c>
      <c r="D115" s="24"/>
      <c r="E115" s="161"/>
      <c r="F115" s="24"/>
      <c r="G115" s="25"/>
    </row>
    <row r="116" spans="1:7" ht="15">
      <c r="A116" s="184"/>
      <c r="B116" s="13" t="s">
        <v>8</v>
      </c>
      <c r="C116" s="167">
        <v>184</v>
      </c>
      <c r="D116" s="7" t="s">
        <v>95</v>
      </c>
      <c r="E116" s="162"/>
      <c r="F116" s="14" t="s">
        <v>6</v>
      </c>
      <c r="G116" s="66">
        <f>C116*E116</f>
        <v>0</v>
      </c>
    </row>
    <row r="117" spans="1:7" ht="15">
      <c r="A117" s="22"/>
      <c r="B117" s="23"/>
      <c r="C117" s="80"/>
      <c r="D117" s="24"/>
      <c r="E117" s="94"/>
      <c r="F117" s="24"/>
      <c r="G117" s="25"/>
    </row>
    <row r="118" spans="1:7" ht="206.25" customHeight="1">
      <c r="A118" s="185" t="s">
        <v>7</v>
      </c>
      <c r="B118" s="23"/>
      <c r="C118" s="29" t="s">
        <v>277</v>
      </c>
      <c r="D118" s="24"/>
      <c r="E118" s="161"/>
      <c r="F118" s="24"/>
      <c r="G118" s="25"/>
    </row>
    <row r="119" spans="1:7" ht="370.5">
      <c r="A119" s="185"/>
      <c r="B119" s="23"/>
      <c r="C119" s="397" t="s">
        <v>154</v>
      </c>
      <c r="D119" s="24"/>
      <c r="E119" s="161"/>
      <c r="F119" s="24"/>
      <c r="G119" s="25"/>
    </row>
    <row r="120" spans="1:7" ht="142.5">
      <c r="A120" s="185"/>
      <c r="B120" s="23"/>
      <c r="C120" s="397" t="s">
        <v>155</v>
      </c>
      <c r="D120" s="24"/>
      <c r="E120" s="161"/>
      <c r="F120" s="24"/>
      <c r="G120" s="25"/>
    </row>
    <row r="121" spans="1:7" ht="15">
      <c r="A121" s="185" t="s">
        <v>29</v>
      </c>
      <c r="B121" s="23"/>
      <c r="C121" s="398" t="s">
        <v>97</v>
      </c>
      <c r="D121" s="24"/>
      <c r="E121" s="161"/>
      <c r="F121" s="24"/>
      <c r="G121" s="25"/>
    </row>
    <row r="122" spans="1:7" ht="72.75">
      <c r="A122" s="184"/>
      <c r="B122" s="13"/>
      <c r="C122" s="84" t="s">
        <v>33</v>
      </c>
      <c r="D122" s="7"/>
      <c r="E122" s="162"/>
      <c r="F122" s="14"/>
      <c r="G122" s="15"/>
    </row>
    <row r="123" spans="1:7" ht="15">
      <c r="A123" s="185"/>
      <c r="B123" s="23" t="s">
        <v>84</v>
      </c>
      <c r="C123" s="92">
        <v>8</v>
      </c>
      <c r="D123" s="24"/>
      <c r="E123" s="161"/>
      <c r="F123" s="24"/>
      <c r="G123" s="68"/>
    </row>
    <row r="124" spans="1:7" s="44" customFormat="1" ht="15">
      <c r="A124" s="185"/>
      <c r="B124" s="23"/>
      <c r="C124" s="318" t="str">
        <f>"UKUPNO: "&amp;C125&amp;" kom."</f>
        <v>UKUPNO: 8 kom.</v>
      </c>
      <c r="D124" s="24"/>
      <c r="E124" s="161"/>
      <c r="F124" s="24"/>
      <c r="G124" s="68"/>
    </row>
    <row r="125" spans="1:7" s="47" customFormat="1" ht="15">
      <c r="A125" s="185"/>
      <c r="B125" s="13" t="s">
        <v>4</v>
      </c>
      <c r="C125" s="399">
        <f>SUM(C123:C123)</f>
        <v>8</v>
      </c>
      <c r="D125" s="22" t="s">
        <v>95</v>
      </c>
      <c r="E125" s="162"/>
      <c r="F125" s="46" t="s">
        <v>6</v>
      </c>
      <c r="G125" s="15">
        <f>C125*E125</f>
        <v>0</v>
      </c>
    </row>
    <row r="126" spans="1:7" s="47" customFormat="1" ht="15">
      <c r="A126" s="185"/>
      <c r="B126" s="13"/>
      <c r="C126" s="22"/>
      <c r="D126" s="22"/>
      <c r="E126" s="162"/>
      <c r="F126" s="46"/>
      <c r="G126" s="15"/>
    </row>
    <row r="127" spans="1:7" ht="172.5">
      <c r="A127" s="185" t="s">
        <v>41</v>
      </c>
      <c r="B127" s="23"/>
      <c r="C127" s="29" t="s">
        <v>339</v>
      </c>
      <c r="D127" s="24"/>
      <c r="E127" s="161"/>
      <c r="F127" s="24"/>
      <c r="G127" s="25"/>
    </row>
    <row r="128" spans="1:7" ht="31.5">
      <c r="A128" s="185" t="s">
        <v>60</v>
      </c>
      <c r="B128" s="23"/>
      <c r="C128" s="29" t="s">
        <v>278</v>
      </c>
      <c r="D128" s="24"/>
      <c r="E128" s="161"/>
      <c r="F128" s="24"/>
      <c r="G128" s="25"/>
    </row>
    <row r="129" spans="1:7" ht="72.75">
      <c r="A129" s="184"/>
      <c r="B129" s="13"/>
      <c r="C129" s="84" t="s">
        <v>33</v>
      </c>
      <c r="D129" s="7"/>
      <c r="E129" s="162"/>
      <c r="F129" s="14"/>
      <c r="G129" s="15"/>
    </row>
    <row r="130" spans="1:7" ht="15">
      <c r="A130" s="185"/>
      <c r="B130" s="23" t="s">
        <v>84</v>
      </c>
      <c r="C130" s="92">
        <v>8</v>
      </c>
      <c r="D130" s="24"/>
      <c r="E130" s="161"/>
      <c r="F130" s="24"/>
      <c r="G130" s="25"/>
    </row>
    <row r="131" spans="1:7" s="44" customFormat="1" ht="15">
      <c r="A131" s="185"/>
      <c r="B131" s="23"/>
      <c r="C131" s="318" t="str">
        <f>"UKUPNO: "&amp;C132&amp;" kom."</f>
        <v>UKUPNO: 8 kom.</v>
      </c>
      <c r="D131" s="24"/>
      <c r="E131" s="161"/>
      <c r="F131" s="24"/>
      <c r="G131" s="25"/>
    </row>
    <row r="132" spans="1:7" s="47" customFormat="1" ht="15">
      <c r="A132" s="185"/>
      <c r="B132" s="13" t="s">
        <v>4</v>
      </c>
      <c r="C132" s="22">
        <f>SUM(C130:C130)</f>
        <v>8</v>
      </c>
      <c r="D132" s="22" t="s">
        <v>95</v>
      </c>
      <c r="E132" s="162"/>
      <c r="F132" s="46" t="s">
        <v>6</v>
      </c>
      <c r="G132" s="15">
        <f>C132*E132</f>
        <v>0</v>
      </c>
    </row>
    <row r="133" spans="1:7" s="12" customFormat="1" ht="12.75">
      <c r="A133" s="296"/>
      <c r="B133" s="297"/>
      <c r="C133" s="298"/>
      <c r="D133" s="299"/>
      <c r="E133" s="300"/>
      <c r="F133" s="299"/>
      <c r="G133" s="301"/>
    </row>
    <row r="134" spans="1:7" ht="102" customHeight="1">
      <c r="A134" s="185" t="s">
        <v>42</v>
      </c>
      <c r="B134" s="23"/>
      <c r="C134" s="29" t="s">
        <v>283</v>
      </c>
      <c r="D134" s="24"/>
      <c r="E134" s="161"/>
      <c r="F134" s="24"/>
      <c r="G134" s="25"/>
    </row>
    <row r="135" spans="1:7" ht="15">
      <c r="A135" s="184" t="s">
        <v>61</v>
      </c>
      <c r="B135" s="4"/>
      <c r="C135" s="83" t="s">
        <v>286</v>
      </c>
      <c r="D135" s="4"/>
      <c r="E135" s="163"/>
      <c r="F135" s="4"/>
      <c r="G135" s="18"/>
    </row>
    <row r="136" spans="1:7" ht="72.75">
      <c r="A136" s="184"/>
      <c r="B136" s="13"/>
      <c r="C136" s="84" t="s">
        <v>33</v>
      </c>
      <c r="D136" s="7"/>
      <c r="E136" s="162"/>
      <c r="F136" s="14"/>
      <c r="G136" s="15"/>
    </row>
    <row r="137" spans="1:7" ht="15">
      <c r="A137" s="185"/>
      <c r="B137" s="23" t="s">
        <v>84</v>
      </c>
      <c r="C137" s="92">
        <v>4</v>
      </c>
      <c r="D137" s="24"/>
      <c r="E137" s="161"/>
      <c r="F137" s="24"/>
      <c r="G137" s="25"/>
    </row>
    <row r="138" spans="1:7" s="44" customFormat="1" ht="15">
      <c r="A138" s="185"/>
      <c r="B138" s="23"/>
      <c r="C138" s="318" t="str">
        <f>"UKUPNO: "&amp;C139&amp;" kom."</f>
        <v>UKUPNO: 4 kom.</v>
      </c>
      <c r="D138" s="24"/>
      <c r="E138" s="161"/>
      <c r="F138" s="24"/>
      <c r="G138" s="25"/>
    </row>
    <row r="139" spans="1:7" s="47" customFormat="1" ht="15">
      <c r="A139" s="185"/>
      <c r="B139" s="13" t="s">
        <v>4</v>
      </c>
      <c r="C139" s="22">
        <f>SUM(C137:C137)</f>
        <v>4</v>
      </c>
      <c r="D139" s="22" t="s">
        <v>95</v>
      </c>
      <c r="E139" s="162"/>
      <c r="F139" s="46" t="s">
        <v>6</v>
      </c>
      <c r="G139" s="15">
        <f>C139*E139</f>
        <v>0</v>
      </c>
    </row>
    <row r="140" spans="1:7" ht="15">
      <c r="A140" s="223"/>
      <c r="B140" s="225"/>
      <c r="C140" s="288"/>
      <c r="D140" s="226"/>
      <c r="E140" s="227"/>
      <c r="F140" s="228"/>
      <c r="G140" s="264"/>
    </row>
    <row r="141" spans="1:7" ht="15">
      <c r="A141" s="184" t="s">
        <v>284</v>
      </c>
      <c r="B141" s="4"/>
      <c r="C141" s="83" t="s">
        <v>182</v>
      </c>
      <c r="D141" s="4"/>
      <c r="E141" s="163"/>
      <c r="F141" s="4"/>
      <c r="G141" s="18"/>
    </row>
    <row r="142" spans="1:7" ht="72.75">
      <c r="A142" s="184"/>
      <c r="B142" s="13"/>
      <c r="C142" s="84" t="s">
        <v>33</v>
      </c>
      <c r="D142" s="7"/>
      <c r="E142" s="162"/>
      <c r="F142" s="14"/>
      <c r="G142" s="15"/>
    </row>
    <row r="143" spans="1:7" ht="15">
      <c r="A143" s="185"/>
      <c r="B143" s="23" t="s">
        <v>84</v>
      </c>
      <c r="C143" s="92">
        <v>1</v>
      </c>
      <c r="D143" s="24"/>
      <c r="E143" s="161"/>
      <c r="F143" s="24"/>
      <c r="G143" s="25"/>
    </row>
    <row r="144" spans="1:7" s="44" customFormat="1" ht="15">
      <c r="A144" s="185"/>
      <c r="B144" s="23"/>
      <c r="C144" s="318" t="str">
        <f>"UKUPNO: "&amp;C145&amp;" kom."</f>
        <v>UKUPNO: 1 kom.</v>
      </c>
      <c r="D144" s="24"/>
      <c r="E144" s="161"/>
      <c r="F144" s="24"/>
      <c r="G144" s="25"/>
    </row>
    <row r="145" spans="1:7" s="47" customFormat="1" ht="15">
      <c r="A145" s="185"/>
      <c r="B145" s="13" t="s">
        <v>4</v>
      </c>
      <c r="C145" s="22">
        <f>SUM(C143:C143)</f>
        <v>1</v>
      </c>
      <c r="D145" s="22" t="s">
        <v>95</v>
      </c>
      <c r="E145" s="162"/>
      <c r="F145" s="46" t="s">
        <v>6</v>
      </c>
      <c r="G145" s="15">
        <f>C145*E145</f>
        <v>0</v>
      </c>
    </row>
    <row r="146" spans="1:7" ht="15">
      <c r="A146" s="223"/>
      <c r="B146" s="225"/>
      <c r="C146" s="288"/>
      <c r="D146" s="226"/>
      <c r="E146" s="227"/>
      <c r="F146" s="228"/>
      <c r="G146" s="264"/>
    </row>
    <row r="147" spans="1:7" ht="15">
      <c r="A147" s="184" t="s">
        <v>285</v>
      </c>
      <c r="B147" s="4"/>
      <c r="C147" s="83" t="s">
        <v>287</v>
      </c>
      <c r="D147" s="4"/>
      <c r="E147" s="163"/>
      <c r="F147" s="4"/>
      <c r="G147" s="18"/>
    </row>
    <row r="148" spans="1:7" ht="72.75">
      <c r="A148" s="184"/>
      <c r="B148" s="13"/>
      <c r="C148" s="84" t="s">
        <v>33</v>
      </c>
      <c r="D148" s="7"/>
      <c r="E148" s="162"/>
      <c r="F148" s="14"/>
      <c r="G148" s="15"/>
    </row>
    <row r="149" spans="1:7" ht="15">
      <c r="A149" s="185"/>
      <c r="B149" s="23" t="s">
        <v>84</v>
      </c>
      <c r="C149" s="92">
        <v>12</v>
      </c>
      <c r="D149" s="24"/>
      <c r="E149" s="161"/>
      <c r="F149" s="24"/>
      <c r="G149" s="25"/>
    </row>
    <row r="150" spans="1:7" s="44" customFormat="1" ht="15">
      <c r="A150" s="185"/>
      <c r="B150" s="23"/>
      <c r="C150" s="318" t="str">
        <f>"UKUPNO: "&amp;C151&amp;" kom."</f>
        <v>UKUPNO: 12 kom.</v>
      </c>
      <c r="D150" s="24"/>
      <c r="E150" s="161"/>
      <c r="F150" s="24"/>
      <c r="G150" s="25"/>
    </row>
    <row r="151" spans="1:7" s="47" customFormat="1" ht="15">
      <c r="A151" s="185"/>
      <c r="B151" s="13" t="s">
        <v>4</v>
      </c>
      <c r="C151" s="22">
        <f>SUM(C149:C149)</f>
        <v>12</v>
      </c>
      <c r="D151" s="22" t="s">
        <v>95</v>
      </c>
      <c r="E151" s="162"/>
      <c r="F151" s="46" t="s">
        <v>6</v>
      </c>
      <c r="G151" s="15">
        <f>C151*E151</f>
        <v>0</v>
      </c>
    </row>
    <row r="152" spans="1:7" s="47" customFormat="1" ht="15">
      <c r="A152" s="185"/>
      <c r="B152" s="13"/>
      <c r="C152" s="22"/>
      <c r="D152" s="22"/>
      <c r="E152" s="162"/>
      <c r="F152" s="46"/>
      <c r="G152" s="15"/>
    </row>
    <row r="153" spans="1:7" ht="15">
      <c r="A153" s="185"/>
      <c r="B153" s="13"/>
      <c r="C153" s="22"/>
      <c r="D153" s="22"/>
      <c r="E153" s="162"/>
      <c r="F153" s="46"/>
      <c r="G153" s="15"/>
    </row>
    <row r="154" spans="1:7" ht="15">
      <c r="A154" s="185"/>
      <c r="B154" s="13"/>
      <c r="C154" s="22"/>
      <c r="D154" s="22"/>
      <c r="E154" s="162"/>
      <c r="F154" s="46"/>
      <c r="G154" s="15"/>
    </row>
    <row r="155" spans="1:7" ht="15">
      <c r="A155" s="185"/>
      <c r="B155" s="13"/>
      <c r="C155" s="22"/>
      <c r="D155" s="22"/>
      <c r="E155" s="162"/>
      <c r="F155" s="46"/>
      <c r="G155" s="15"/>
    </row>
    <row r="156" spans="1:7" ht="15">
      <c r="A156" s="186"/>
      <c r="B156" s="50"/>
      <c r="C156" s="51"/>
      <c r="D156" s="52"/>
      <c r="E156" s="192"/>
      <c r="F156" s="52"/>
      <c r="G156" s="53"/>
    </row>
    <row r="157" spans="1:7" ht="15.75">
      <c r="A157" s="93" t="s">
        <v>31</v>
      </c>
      <c r="B157" s="55"/>
      <c r="C157" s="3" t="s">
        <v>80</v>
      </c>
      <c r="D157" s="54"/>
      <c r="E157" s="56"/>
      <c r="F157" s="55" t="s">
        <v>87</v>
      </c>
      <c r="G157" s="57">
        <f>SUM(G105:G152)</f>
        <v>0</v>
      </c>
    </row>
    <row r="158" spans="1:7" ht="15">
      <c r="A158" s="187"/>
      <c r="B158" s="58"/>
      <c r="C158" s="59"/>
      <c r="D158" s="60"/>
      <c r="E158" s="193"/>
      <c r="F158" s="60"/>
      <c r="G158" s="61"/>
    </row>
    <row r="159" spans="1:7" ht="15">
      <c r="A159" s="223"/>
      <c r="B159" s="234"/>
      <c r="C159" s="235"/>
      <c r="D159" s="220"/>
      <c r="E159" s="221"/>
      <c r="F159" s="220"/>
      <c r="G159" s="222"/>
    </row>
    <row r="160" spans="1:7" ht="15.75">
      <c r="A160" s="93" t="s">
        <v>32</v>
      </c>
      <c r="B160" s="55"/>
      <c r="C160" s="3" t="s">
        <v>63</v>
      </c>
      <c r="D160" s="54"/>
      <c r="E160" s="56"/>
      <c r="F160" s="54"/>
      <c r="G160" s="57"/>
    </row>
    <row r="161" spans="1:7" s="12" customFormat="1" ht="15">
      <c r="A161" s="184"/>
      <c r="B161" s="16"/>
      <c r="C161" s="17"/>
      <c r="D161" s="4"/>
      <c r="E161" s="163"/>
      <c r="F161" s="4"/>
      <c r="G161" s="18"/>
    </row>
    <row r="162" spans="1:7" ht="257.25">
      <c r="A162" s="184" t="s">
        <v>3</v>
      </c>
      <c r="B162" s="4"/>
      <c r="C162" s="21" t="s">
        <v>288</v>
      </c>
      <c r="D162" s="4"/>
      <c r="E162" s="163"/>
      <c r="F162" s="4"/>
      <c r="G162" s="18"/>
    </row>
    <row r="163" spans="1:7" ht="15">
      <c r="A163" s="185"/>
      <c r="B163" s="23" t="s">
        <v>84</v>
      </c>
      <c r="C163" s="168" t="str">
        <f>"0,6×1,10×5,0×8 = "&amp;ROUNDUP((0.6*1.1*5*8),1)&amp;" m³"</f>
        <v>0,6×1,10×5,0×8 = 26,4 m³</v>
      </c>
      <c r="D163" s="24"/>
      <c r="E163" s="161"/>
      <c r="F163" s="24"/>
      <c r="G163" s="25"/>
    </row>
    <row r="164" spans="1:7" ht="15">
      <c r="A164" s="185"/>
      <c r="B164" s="23"/>
      <c r="C164" s="26" t="str">
        <f>"UKUPNO: "&amp;C165&amp;" m³"</f>
        <v>UKUPNO: 27 m³</v>
      </c>
      <c r="D164" s="24"/>
      <c r="E164" s="161"/>
      <c r="F164" s="24"/>
      <c r="G164" s="25"/>
    </row>
    <row r="165" spans="1:7" ht="15">
      <c r="A165" s="184"/>
      <c r="B165" s="33" t="s">
        <v>20</v>
      </c>
      <c r="C165" s="167">
        <f>ROUNDUP(26.4,0)</f>
        <v>27</v>
      </c>
      <c r="D165" s="7" t="s">
        <v>95</v>
      </c>
      <c r="E165" s="162"/>
      <c r="F165" s="14" t="s">
        <v>6</v>
      </c>
      <c r="G165" s="15">
        <f>C165*E165</f>
        <v>0</v>
      </c>
    </row>
    <row r="166" spans="1:7" s="12" customFormat="1" ht="9.9499999999999993" customHeight="1">
      <c r="A166" s="223"/>
      <c r="B166" s="234"/>
      <c r="C166" s="235"/>
      <c r="D166" s="220"/>
      <c r="E166" s="221"/>
      <c r="F166" s="220"/>
      <c r="G166" s="222"/>
    </row>
    <row r="167" spans="1:7" ht="159" customHeight="1">
      <c r="A167" s="184" t="s">
        <v>7</v>
      </c>
      <c r="B167" s="4"/>
      <c r="C167" s="21" t="s">
        <v>236</v>
      </c>
      <c r="D167" s="4"/>
      <c r="E167" s="163"/>
      <c r="F167" s="4"/>
      <c r="G167" s="18"/>
    </row>
    <row r="168" spans="1:7" ht="15">
      <c r="A168" s="185"/>
      <c r="B168" s="23" t="s">
        <v>84</v>
      </c>
      <c r="C168" s="168" t="str">
        <f>"0,6×0,4×5,0×8 = "&amp;ROUNDUP((0.6*0.4*5*8),1)&amp;" m³"</f>
        <v>0,6×0,4×5,0×8 = 9,6 m³</v>
      </c>
      <c r="D168" s="24"/>
      <c r="E168" s="161"/>
      <c r="F168" s="24"/>
      <c r="G168" s="25"/>
    </row>
    <row r="169" spans="1:7" ht="15">
      <c r="A169" s="185"/>
      <c r="B169" s="23"/>
      <c r="C169" s="26" t="str">
        <f>"UKUPNO: "&amp;C170&amp;" m³"</f>
        <v>UKUPNO: 10 m³</v>
      </c>
      <c r="D169" s="24"/>
      <c r="E169" s="161"/>
      <c r="F169" s="24"/>
      <c r="G169" s="25"/>
    </row>
    <row r="170" spans="1:7" ht="15">
      <c r="A170" s="184"/>
      <c r="B170" s="33" t="s">
        <v>20</v>
      </c>
      <c r="C170" s="167">
        <f>ROUNDUP(9.6,0)</f>
        <v>10</v>
      </c>
      <c r="D170" s="7" t="s">
        <v>95</v>
      </c>
      <c r="E170" s="162"/>
      <c r="F170" s="14" t="s">
        <v>6</v>
      </c>
      <c r="G170" s="15">
        <f>C170*E170</f>
        <v>0</v>
      </c>
    </row>
    <row r="171" spans="1:7" ht="10.5" customHeight="1">
      <c r="A171" s="273"/>
      <c r="B171" s="274"/>
      <c r="C171" s="275"/>
      <c r="D171" s="276"/>
      <c r="E171" s="276"/>
      <c r="F171" s="276"/>
      <c r="G171" s="275"/>
    </row>
    <row r="172" spans="1:7" ht="106.5" customHeight="1">
      <c r="A172" s="174" t="s">
        <v>41</v>
      </c>
      <c r="C172" s="76" t="s">
        <v>289</v>
      </c>
      <c r="E172" s="202"/>
      <c r="G172" s="77"/>
    </row>
    <row r="173" spans="1:7" ht="15">
      <c r="A173" s="185"/>
      <c r="B173" s="23" t="s">
        <v>84</v>
      </c>
      <c r="C173" s="168" t="str">
        <f>"0,6×0,7×5,0×8 = "&amp;ROUNDUP((0.6*0.7*5*8),1)&amp;" m³"</f>
        <v>0,6×0,7×5,0×8 = 16,8 m³</v>
      </c>
      <c r="D173" s="24"/>
      <c r="E173" s="161"/>
      <c r="F173" s="24"/>
      <c r="G173" s="25"/>
    </row>
    <row r="174" spans="1:7" ht="15">
      <c r="A174" s="185"/>
      <c r="B174" s="23"/>
      <c r="C174" s="26" t="str">
        <f>"UKUPNO: "&amp;C175&amp;" m³"</f>
        <v>UKUPNO: 17 m³</v>
      </c>
      <c r="D174" s="24"/>
      <c r="E174" s="161"/>
      <c r="F174" s="24"/>
      <c r="G174" s="25"/>
    </row>
    <row r="175" spans="1:7" s="12" customFormat="1" ht="15">
      <c r="A175" s="185"/>
      <c r="B175" s="33" t="s">
        <v>20</v>
      </c>
      <c r="C175" s="167">
        <f>ROUNDUP(16.8,0)</f>
        <v>17</v>
      </c>
      <c r="D175" s="22" t="s">
        <v>95</v>
      </c>
      <c r="E175" s="162"/>
      <c r="F175" s="14" t="s">
        <v>6</v>
      </c>
      <c r="G175" s="66">
        <f>C175*E175</f>
        <v>0</v>
      </c>
    </row>
    <row r="176" spans="1:7" ht="11.1" customHeight="1">
      <c r="A176" s="223"/>
      <c r="B176" s="225"/>
      <c r="C176" s="277"/>
      <c r="D176" s="226"/>
      <c r="E176" s="278"/>
      <c r="F176" s="228"/>
      <c r="G176" s="264"/>
    </row>
    <row r="177" spans="1:7" s="12" customFormat="1" ht="186">
      <c r="A177" s="184" t="s">
        <v>42</v>
      </c>
      <c r="B177" s="234"/>
      <c r="C177" s="29" t="s">
        <v>263</v>
      </c>
      <c r="D177" s="4"/>
      <c r="E177" s="163"/>
      <c r="F177" s="4"/>
      <c r="G177" s="6"/>
    </row>
    <row r="178" spans="1:7" s="12" customFormat="1" ht="15">
      <c r="A178" s="230"/>
      <c r="B178" s="231"/>
      <c r="C178" s="78" t="s">
        <v>126</v>
      </c>
      <c r="D178" s="10"/>
      <c r="E178" s="194"/>
      <c r="F178" s="10"/>
      <c r="G178" s="75"/>
    </row>
    <row r="179" spans="1:7" ht="15">
      <c r="A179" s="294"/>
      <c r="B179" s="234"/>
      <c r="C179" s="73" t="str">
        <f>C165&amp;" × 1,35 = "&amp;(C165)*1.35&amp;" m³"</f>
        <v>27 × 1,35 = 36,45 m³</v>
      </c>
      <c r="D179" s="4"/>
      <c r="E179" s="203"/>
      <c r="F179" s="4"/>
      <c r="G179" s="18"/>
    </row>
    <row r="180" spans="1:7" s="12" customFormat="1" ht="15">
      <c r="A180" s="185" t="s">
        <v>61</v>
      </c>
      <c r="B180" s="34"/>
      <c r="C180" s="80" t="s">
        <v>22</v>
      </c>
      <c r="D180" s="24"/>
      <c r="E180" s="161"/>
      <c r="F180" s="24"/>
      <c r="G180" s="6" t="s">
        <v>11</v>
      </c>
    </row>
    <row r="181" spans="1:7" s="12" customFormat="1" ht="15">
      <c r="A181" s="185"/>
      <c r="B181" s="13" t="s">
        <v>20</v>
      </c>
      <c r="C181" s="27">
        <f>ROUNDUP((C165)*1.35,0)</f>
        <v>37</v>
      </c>
      <c r="D181" s="22" t="s">
        <v>95</v>
      </c>
      <c r="E181" s="204"/>
      <c r="F181" s="14" t="s">
        <v>6</v>
      </c>
      <c r="G181" s="66">
        <f>C181*E181</f>
        <v>0</v>
      </c>
    </row>
    <row r="182" spans="1:7" s="12" customFormat="1" ht="15">
      <c r="A182" s="185"/>
      <c r="B182" s="23"/>
      <c r="C182" s="343"/>
      <c r="D182" s="24"/>
      <c r="E182" s="161"/>
      <c r="F182" s="24"/>
      <c r="G182" s="6"/>
    </row>
    <row r="183" spans="1:7" s="12" customFormat="1" ht="15">
      <c r="A183" s="185" t="s">
        <v>284</v>
      </c>
      <c r="B183" s="34"/>
      <c r="C183" s="80" t="s">
        <v>23</v>
      </c>
      <c r="D183" s="24"/>
      <c r="E183" s="161"/>
      <c r="F183" s="24"/>
      <c r="G183" s="6" t="s">
        <v>11</v>
      </c>
    </row>
    <row r="184" spans="1:7" s="12" customFormat="1" ht="15">
      <c r="A184" s="185"/>
      <c r="B184" s="13" t="s">
        <v>20</v>
      </c>
      <c r="C184" s="27">
        <f>C181</f>
        <v>37</v>
      </c>
      <c r="D184" s="22" t="s">
        <v>95</v>
      </c>
      <c r="E184" s="204"/>
      <c r="F184" s="14" t="s">
        <v>6</v>
      </c>
      <c r="G184" s="66">
        <f>C184*E184</f>
        <v>0</v>
      </c>
    </row>
    <row r="185" spans="1:7" ht="15">
      <c r="A185" s="230"/>
      <c r="B185" s="231"/>
      <c r="C185" s="281"/>
      <c r="D185" s="232"/>
      <c r="E185" s="236"/>
      <c r="F185" s="232"/>
      <c r="G185" s="261"/>
    </row>
    <row r="186" spans="1:7" ht="215.25">
      <c r="A186" s="174" t="s">
        <v>43</v>
      </c>
      <c r="C186" s="9" t="s">
        <v>290</v>
      </c>
      <c r="E186" s="337"/>
      <c r="G186" s="338"/>
    </row>
    <row r="187" spans="1:7" ht="171">
      <c r="A187" s="174"/>
      <c r="C187" s="9" t="s">
        <v>156</v>
      </c>
      <c r="E187" s="337"/>
      <c r="G187" s="338"/>
    </row>
    <row r="188" spans="1:7" ht="128.25">
      <c r="A188" s="174"/>
      <c r="C188" s="9" t="s">
        <v>157</v>
      </c>
      <c r="E188" s="337"/>
      <c r="G188" s="338"/>
    </row>
    <row r="189" spans="1:7" ht="87.75">
      <c r="A189" s="174" t="s">
        <v>56</v>
      </c>
      <c r="C189" s="396" t="s">
        <v>291</v>
      </c>
      <c r="E189" s="337"/>
      <c r="G189" s="338"/>
    </row>
    <row r="190" spans="1:7" ht="15">
      <c r="A190" s="185"/>
      <c r="B190" s="23" t="s">
        <v>84</v>
      </c>
      <c r="C190" s="92">
        <v>8</v>
      </c>
      <c r="D190" s="24"/>
      <c r="E190" s="161"/>
      <c r="F190" s="24"/>
      <c r="G190" s="68"/>
    </row>
    <row r="191" spans="1:7" s="44" customFormat="1" ht="15">
      <c r="A191" s="185"/>
      <c r="B191" s="23"/>
      <c r="C191" s="318" t="str">
        <f>"UKUPNO: "&amp;C192&amp;" kom."</f>
        <v>UKUPNO: 8 kom.</v>
      </c>
      <c r="D191" s="24"/>
      <c r="E191" s="161"/>
      <c r="F191" s="24"/>
      <c r="G191" s="68"/>
    </row>
    <row r="192" spans="1:7" ht="15">
      <c r="A192" s="174"/>
      <c r="B192" s="36" t="s">
        <v>4</v>
      </c>
      <c r="C192" s="81">
        <f>ROUNDUP(C190,0)</f>
        <v>8</v>
      </c>
      <c r="D192" s="30" t="s">
        <v>95</v>
      </c>
      <c r="E192" s="339"/>
      <c r="F192" s="14" t="s">
        <v>6</v>
      </c>
      <c r="G192" s="66">
        <f>C192*E192</f>
        <v>0</v>
      </c>
    </row>
    <row r="193" spans="1:7" ht="15">
      <c r="A193" s="230"/>
      <c r="B193" s="231"/>
      <c r="C193" s="281"/>
      <c r="D193" s="232"/>
      <c r="E193" s="236"/>
      <c r="F193" s="232"/>
      <c r="G193" s="261"/>
    </row>
    <row r="194" spans="1:7" ht="216">
      <c r="A194" s="174" t="s">
        <v>44</v>
      </c>
      <c r="C194" s="9" t="s">
        <v>296</v>
      </c>
      <c r="E194" s="337"/>
      <c r="G194" s="338"/>
    </row>
    <row r="195" spans="1:7" ht="228">
      <c r="A195" s="174"/>
      <c r="C195" s="9" t="s">
        <v>158</v>
      </c>
      <c r="E195" s="337"/>
      <c r="G195" s="338"/>
    </row>
    <row r="196" spans="1:7" ht="29.25">
      <c r="A196" s="184" t="s">
        <v>57</v>
      </c>
      <c r="B196" s="4"/>
      <c r="C196" s="83" t="s">
        <v>293</v>
      </c>
      <c r="D196" s="4"/>
      <c r="E196" s="163"/>
      <c r="F196" s="4"/>
      <c r="G196" s="18"/>
    </row>
    <row r="197" spans="1:7" ht="72.75">
      <c r="A197" s="184"/>
      <c r="B197" s="13"/>
      <c r="C197" s="84" t="s">
        <v>33</v>
      </c>
      <c r="D197" s="7"/>
      <c r="E197" s="162"/>
      <c r="F197" s="14"/>
      <c r="G197" s="15"/>
    </row>
    <row r="198" spans="1:7" ht="15">
      <c r="A198" s="185"/>
      <c r="B198" s="23" t="s">
        <v>84</v>
      </c>
      <c r="C198" s="168" t="str">
        <f>"(5,00 m' × 8) + 5% = "&amp;ROUNDUP((5*8)*1.05,1)&amp;" m'"</f>
        <v>(5,00 m' × 8) + 5% = 42 m'</v>
      </c>
      <c r="D198" s="24"/>
      <c r="E198" s="161"/>
      <c r="F198" s="24"/>
      <c r="G198" s="25"/>
    </row>
    <row r="199" spans="1:7" ht="15">
      <c r="A199" s="185"/>
      <c r="B199" s="23"/>
      <c r="C199" s="26" t="str">
        <f>"UKUPNO: "&amp;C200&amp;" m'"</f>
        <v>UKUPNO: 42 m'</v>
      </c>
      <c r="D199" s="24"/>
      <c r="E199" s="161"/>
      <c r="F199" s="24"/>
      <c r="G199" s="25"/>
    </row>
    <row r="200" spans="1:7" ht="15">
      <c r="A200" s="184"/>
      <c r="B200" s="13" t="s">
        <v>8</v>
      </c>
      <c r="C200" s="27">
        <f>ROUNDUP(42,0)</f>
        <v>42</v>
      </c>
      <c r="D200" s="7" t="s">
        <v>95</v>
      </c>
      <c r="E200" s="162"/>
      <c r="F200" s="14" t="s">
        <v>6</v>
      </c>
      <c r="G200" s="66">
        <f>C200*E200</f>
        <v>0</v>
      </c>
    </row>
    <row r="201" spans="1:7" ht="15">
      <c r="A201" s="230"/>
      <c r="B201" s="231"/>
      <c r="C201" s="281"/>
      <c r="D201" s="232"/>
      <c r="E201" s="236"/>
      <c r="F201" s="232"/>
      <c r="G201" s="261"/>
    </row>
    <row r="202" spans="1:7" ht="272.25">
      <c r="A202" s="174" t="s">
        <v>47</v>
      </c>
      <c r="C202" s="9" t="s">
        <v>292</v>
      </c>
      <c r="E202" s="337"/>
      <c r="G202" s="338"/>
    </row>
    <row r="203" spans="1:7" ht="29.25">
      <c r="A203" s="184" t="s">
        <v>53</v>
      </c>
      <c r="B203" s="4"/>
      <c r="C203" s="83" t="s">
        <v>293</v>
      </c>
      <c r="D203" s="4"/>
      <c r="E203" s="163"/>
      <c r="F203" s="4"/>
      <c r="G203" s="18"/>
    </row>
    <row r="204" spans="1:7" ht="15">
      <c r="A204" s="185"/>
      <c r="B204" s="23" t="s">
        <v>84</v>
      </c>
      <c r="C204" s="92">
        <v>8</v>
      </c>
      <c r="D204" s="24"/>
      <c r="E204" s="161"/>
      <c r="F204" s="24"/>
      <c r="G204" s="68"/>
    </row>
    <row r="205" spans="1:7" s="44" customFormat="1" ht="15">
      <c r="A205" s="185"/>
      <c r="B205" s="23"/>
      <c r="C205" s="318" t="str">
        <f>"UKUPNO: "&amp;C206&amp;" kom."</f>
        <v>UKUPNO: 8 kom.</v>
      </c>
      <c r="D205" s="24"/>
      <c r="E205" s="161"/>
      <c r="F205" s="24"/>
      <c r="G205" s="68"/>
    </row>
    <row r="206" spans="1:7" ht="15">
      <c r="A206" s="174"/>
      <c r="B206" s="36" t="s">
        <v>4</v>
      </c>
      <c r="C206" s="27">
        <f>ROUNDUP(C204,0)</f>
        <v>8</v>
      </c>
      <c r="D206" s="30" t="s">
        <v>95</v>
      </c>
      <c r="E206" s="339"/>
      <c r="F206" s="14" t="s">
        <v>6</v>
      </c>
      <c r="G206" s="66">
        <f>C206*E206</f>
        <v>0</v>
      </c>
    </row>
    <row r="207" spans="1:7" ht="15">
      <c r="A207" s="230"/>
      <c r="B207" s="289"/>
      <c r="C207" s="302"/>
      <c r="D207" s="266"/>
      <c r="E207" s="290"/>
      <c r="F207" s="228"/>
      <c r="G207" s="229"/>
    </row>
    <row r="208" spans="1:7" ht="201">
      <c r="A208" s="185" t="s">
        <v>48</v>
      </c>
      <c r="B208" s="23"/>
      <c r="C208" s="29" t="s">
        <v>294</v>
      </c>
      <c r="D208" s="24"/>
      <c r="E208" s="161"/>
      <c r="F208" s="24"/>
      <c r="G208" s="25"/>
    </row>
    <row r="209" spans="1:7" ht="30">
      <c r="A209" s="185" t="s">
        <v>54</v>
      </c>
      <c r="B209" s="23"/>
      <c r="C209" s="29" t="s">
        <v>295</v>
      </c>
      <c r="D209" s="24"/>
      <c r="E209" s="161"/>
      <c r="F209" s="24"/>
      <c r="G209" s="25"/>
    </row>
    <row r="210" spans="1:7" ht="72.75">
      <c r="A210" s="184"/>
      <c r="B210" s="13"/>
      <c r="C210" s="84" t="s">
        <v>33</v>
      </c>
      <c r="D210" s="7"/>
      <c r="E210" s="162"/>
      <c r="F210" s="14"/>
      <c r="G210" s="15"/>
    </row>
    <row r="211" spans="1:7" ht="15">
      <c r="A211" s="185"/>
      <c r="B211" s="23" t="s">
        <v>84</v>
      </c>
      <c r="C211" s="92">
        <v>8</v>
      </c>
      <c r="D211" s="24"/>
      <c r="E211" s="161"/>
      <c r="F211" s="24"/>
      <c r="G211" s="68"/>
    </row>
    <row r="212" spans="1:7" s="44" customFormat="1" ht="15">
      <c r="A212" s="185"/>
      <c r="B212" s="23"/>
      <c r="C212" s="318" t="str">
        <f>"UKUPNO: "&amp;C213&amp;" kom."</f>
        <v>UKUPNO: 8 kom.</v>
      </c>
      <c r="D212" s="24"/>
      <c r="E212" s="161"/>
      <c r="F212" s="24"/>
      <c r="G212" s="68"/>
    </row>
    <row r="213" spans="1:7" ht="15">
      <c r="A213" s="174"/>
      <c r="B213" s="36" t="s">
        <v>4</v>
      </c>
      <c r="C213" s="27">
        <f>ROUNDUP(C211,0)</f>
        <v>8</v>
      </c>
      <c r="D213" s="30" t="s">
        <v>95</v>
      </c>
      <c r="E213" s="339"/>
      <c r="F213" s="14" t="s">
        <v>6</v>
      </c>
      <c r="G213" s="66">
        <f>C213*E213</f>
        <v>0</v>
      </c>
    </row>
    <row r="214" spans="1:7" ht="15">
      <c r="A214" s="174"/>
      <c r="B214" s="36"/>
      <c r="C214" s="27"/>
      <c r="D214" s="30"/>
      <c r="E214" s="339"/>
      <c r="F214" s="14"/>
      <c r="G214" s="66"/>
    </row>
    <row r="215" spans="1:7" ht="15">
      <c r="A215" s="174"/>
      <c r="B215" s="36"/>
      <c r="C215" s="27"/>
      <c r="D215" s="30"/>
      <c r="E215" s="339"/>
      <c r="F215" s="14"/>
      <c r="G215" s="66"/>
    </row>
    <row r="216" spans="1:7" ht="15">
      <c r="A216" s="174"/>
      <c r="B216" s="36"/>
      <c r="C216" s="27"/>
      <c r="D216" s="30"/>
      <c r="E216" s="339"/>
      <c r="F216" s="14"/>
      <c r="G216" s="66"/>
    </row>
    <row r="217" spans="1:7" ht="15">
      <c r="A217" s="184"/>
      <c r="B217" s="16"/>
      <c r="C217" s="4"/>
      <c r="D217" s="60"/>
      <c r="E217" s="193"/>
      <c r="F217" s="60"/>
      <c r="G217" s="61"/>
    </row>
    <row r="218" spans="1:7" ht="15">
      <c r="A218" s="186"/>
      <c r="B218" s="50"/>
      <c r="C218" s="51"/>
      <c r="D218" s="52"/>
      <c r="E218" s="192"/>
      <c r="F218" s="52"/>
      <c r="G218" s="53"/>
    </row>
    <row r="219" spans="1:7" ht="31.5">
      <c r="A219" s="400" t="s">
        <v>32</v>
      </c>
      <c r="B219" s="401"/>
      <c r="C219" s="402" t="s">
        <v>64</v>
      </c>
      <c r="D219" s="403"/>
      <c r="E219" s="404"/>
      <c r="F219" s="401" t="s">
        <v>87</v>
      </c>
      <c r="G219" s="405">
        <f>SUM(G160:G218)</f>
        <v>0</v>
      </c>
    </row>
    <row r="220" spans="1:7" ht="15">
      <c r="A220" s="223"/>
      <c r="B220" s="234"/>
      <c r="C220" s="235"/>
      <c r="D220" s="220"/>
      <c r="E220" s="221"/>
      <c r="F220" s="220"/>
      <c r="G220" s="222"/>
    </row>
    <row r="221" spans="1:7" ht="15.75">
      <c r="A221" s="93" t="s">
        <v>35</v>
      </c>
      <c r="B221" s="55"/>
      <c r="C221" s="3" t="s">
        <v>36</v>
      </c>
      <c r="D221" s="54"/>
      <c r="E221" s="56"/>
      <c r="F221" s="54"/>
      <c r="G221" s="57"/>
    </row>
    <row r="222" spans="1:7" s="12" customFormat="1" ht="15">
      <c r="A222" s="184"/>
      <c r="B222" s="16"/>
      <c r="C222" s="17"/>
      <c r="D222" s="4"/>
      <c r="E222" s="163"/>
      <c r="F222" s="4"/>
      <c r="G222" s="18"/>
    </row>
    <row r="223" spans="1:7" ht="72">
      <c r="A223" s="184" t="s">
        <v>3</v>
      </c>
      <c r="B223" s="4"/>
      <c r="C223" s="21" t="s">
        <v>274</v>
      </c>
      <c r="D223" s="4"/>
      <c r="E223" s="163"/>
      <c r="F223" s="4"/>
      <c r="G223" s="18"/>
    </row>
    <row r="224" spans="1:7" ht="15">
      <c r="A224" s="185"/>
      <c r="B224" s="23" t="s">
        <v>84</v>
      </c>
      <c r="C224" s="149">
        <f>VLOOKUP('I) ZAJEDNIČKI RADOVI'!B10,'I) ZAJEDNIČKI RADOVI'!B10:E10,4,FALSE)</f>
        <v>184</v>
      </c>
      <c r="D224" s="24"/>
      <c r="E224" s="161"/>
      <c r="F224" s="24"/>
      <c r="G224" s="25"/>
    </row>
    <row r="225" spans="1:7" ht="15">
      <c r="A225" s="185"/>
      <c r="B225" s="23"/>
      <c r="C225" s="26" t="str">
        <f>"UKUPNO: "&amp;C226&amp;" m'"</f>
        <v>UKUPNO: 184 m'</v>
      </c>
      <c r="D225" s="24"/>
      <c r="E225" s="161"/>
      <c r="F225" s="24"/>
      <c r="G225" s="25"/>
    </row>
    <row r="226" spans="1:7" ht="15">
      <c r="A226" s="184"/>
      <c r="B226" s="13" t="s">
        <v>8</v>
      </c>
      <c r="C226" s="27">
        <f>SUM(C224:C224)</f>
        <v>184</v>
      </c>
      <c r="D226" s="7" t="s">
        <v>95</v>
      </c>
      <c r="E226" s="162"/>
      <c r="F226" s="14" t="s">
        <v>6</v>
      </c>
      <c r="G226" s="15">
        <f>C226*E226</f>
        <v>0</v>
      </c>
    </row>
    <row r="227" spans="1:7" s="12" customFormat="1" ht="15">
      <c r="A227" s="223"/>
      <c r="B227" s="234"/>
      <c r="C227" s="235"/>
      <c r="D227" s="220"/>
      <c r="E227" s="221"/>
      <c r="F227" s="220"/>
      <c r="G227" s="222"/>
    </row>
    <row r="228" spans="1:7" ht="264" customHeight="1">
      <c r="A228" s="184" t="s">
        <v>7</v>
      </c>
      <c r="B228" s="4"/>
      <c r="C228" s="21" t="s">
        <v>275</v>
      </c>
      <c r="D228" s="4"/>
      <c r="E228" s="163"/>
      <c r="F228" s="4"/>
      <c r="G228" s="18"/>
    </row>
    <row r="229" spans="1:7" ht="247.5" customHeight="1">
      <c r="A229" s="184"/>
      <c r="B229" s="4"/>
      <c r="C229" s="21" t="s">
        <v>37</v>
      </c>
      <c r="D229" s="4"/>
      <c r="E229" s="163"/>
      <c r="F229" s="4"/>
      <c r="G229" s="18"/>
    </row>
    <row r="230" spans="1:7" ht="201.75" customHeight="1">
      <c r="A230" s="184"/>
      <c r="B230" s="4"/>
      <c r="C230" s="21" t="s">
        <v>67</v>
      </c>
      <c r="D230" s="4"/>
      <c r="E230" s="163"/>
      <c r="F230" s="4"/>
      <c r="G230" s="18"/>
    </row>
    <row r="231" spans="1:7" ht="15">
      <c r="A231" s="185"/>
      <c r="B231" s="23" t="s">
        <v>84</v>
      </c>
      <c r="C231" s="149">
        <f>VLOOKUP('I) ZAJEDNIČKI RADOVI'!B10,'I) ZAJEDNIČKI RADOVI'!B10:E10,4,FALSE)</f>
        <v>184</v>
      </c>
      <c r="D231" s="24"/>
      <c r="E231" s="161"/>
      <c r="F231" s="24"/>
      <c r="G231" s="25"/>
    </row>
    <row r="232" spans="1:7" ht="15">
      <c r="A232" s="185"/>
      <c r="B232" s="23"/>
      <c r="C232" s="26" t="str">
        <f>"UKUPNO: "&amp;C233&amp;" m'"</f>
        <v>UKUPNO: 184 m'</v>
      </c>
      <c r="D232" s="24"/>
      <c r="E232" s="161"/>
      <c r="F232" s="24"/>
      <c r="G232" s="25"/>
    </row>
    <row r="233" spans="1:7" ht="15">
      <c r="A233" s="184"/>
      <c r="B233" s="13" t="s">
        <v>8</v>
      </c>
      <c r="C233" s="27">
        <f>SUM(C231:C231)</f>
        <v>184</v>
      </c>
      <c r="D233" s="7" t="s">
        <v>95</v>
      </c>
      <c r="E233" s="162"/>
      <c r="F233" s="14" t="s">
        <v>6</v>
      </c>
      <c r="G233" s="15">
        <f>C233*E233</f>
        <v>0</v>
      </c>
    </row>
    <row r="234" spans="1:7" ht="15">
      <c r="A234" s="238"/>
      <c r="B234" s="239"/>
      <c r="C234" s="240"/>
      <c r="D234" s="241"/>
      <c r="E234" s="219"/>
      <c r="F234" s="241"/>
      <c r="G234" s="272"/>
    </row>
    <row r="235" spans="1:7" ht="229.5">
      <c r="A235" s="184" t="s">
        <v>41</v>
      </c>
      <c r="B235" s="4"/>
      <c r="C235" s="21" t="s">
        <v>276</v>
      </c>
      <c r="D235" s="4"/>
      <c r="E235" s="163"/>
      <c r="F235" s="4"/>
      <c r="G235" s="18"/>
    </row>
    <row r="236" spans="1:7" ht="199.5">
      <c r="A236" s="184"/>
      <c r="B236" s="4"/>
      <c r="C236" s="21" t="s">
        <v>66</v>
      </c>
      <c r="D236" s="4"/>
      <c r="E236" s="163"/>
      <c r="F236" s="4"/>
      <c r="G236" s="18"/>
    </row>
    <row r="237" spans="1:7" ht="15">
      <c r="A237" s="185"/>
      <c r="B237" s="23" t="s">
        <v>84</v>
      </c>
      <c r="C237" s="149">
        <f>VLOOKUP('I) ZAJEDNIČKI RADOVI'!B10,'I) ZAJEDNIČKI RADOVI'!B10:E10,4,FALSE)</f>
        <v>184</v>
      </c>
      <c r="D237" s="24"/>
      <c r="E237" s="161"/>
      <c r="F237" s="24"/>
      <c r="G237" s="25"/>
    </row>
    <row r="238" spans="1:7" ht="15">
      <c r="A238" s="185"/>
      <c r="B238" s="23"/>
      <c r="C238" s="26" t="str">
        <f>"UKUPNO: "&amp;C239&amp;" m'"</f>
        <v>UKUPNO: 184 m'</v>
      </c>
      <c r="D238" s="24"/>
      <c r="E238" s="161"/>
      <c r="F238" s="24"/>
      <c r="G238" s="25"/>
    </row>
    <row r="239" spans="1:7" ht="15">
      <c r="A239" s="184"/>
      <c r="B239" s="13" t="s">
        <v>8</v>
      </c>
      <c r="C239" s="27">
        <f>SUM(C237:C237)</f>
        <v>184</v>
      </c>
      <c r="D239" s="7" t="s">
        <v>95</v>
      </c>
      <c r="E239" s="162"/>
      <c r="F239" s="14" t="s">
        <v>6</v>
      </c>
      <c r="G239" s="15">
        <f>C239*E239</f>
        <v>0</v>
      </c>
    </row>
    <row r="240" spans="1:7" ht="15">
      <c r="A240" s="184"/>
      <c r="B240" s="13"/>
      <c r="C240" s="27"/>
      <c r="D240" s="7"/>
      <c r="E240" s="162"/>
      <c r="F240" s="14"/>
      <c r="G240" s="15"/>
    </row>
    <row r="241" spans="1:7" ht="15">
      <c r="A241" s="184"/>
      <c r="B241" s="13"/>
      <c r="C241" s="27"/>
      <c r="D241" s="7"/>
      <c r="E241" s="162"/>
      <c r="F241" s="14"/>
      <c r="G241" s="15"/>
    </row>
    <row r="242" spans="1:7" ht="15">
      <c r="A242" s="184"/>
      <c r="B242" s="13"/>
      <c r="C242" s="27"/>
      <c r="D242" s="7"/>
      <c r="E242" s="162"/>
      <c r="F242" s="14"/>
      <c r="G242" s="15"/>
    </row>
    <row r="243" spans="1:7" ht="15">
      <c r="A243" s="184"/>
      <c r="B243" s="16"/>
      <c r="C243" s="4"/>
      <c r="D243" s="60"/>
      <c r="E243" s="193"/>
      <c r="F243" s="60"/>
      <c r="G243" s="61"/>
    </row>
    <row r="244" spans="1:7" ht="15">
      <c r="A244" s="186"/>
      <c r="B244" s="50"/>
      <c r="C244" s="51"/>
      <c r="D244" s="52"/>
      <c r="E244" s="192"/>
      <c r="F244" s="52"/>
      <c r="G244" s="53"/>
    </row>
    <row r="245" spans="1:7" ht="15.75">
      <c r="A245" s="93" t="s">
        <v>35</v>
      </c>
      <c r="B245" s="55"/>
      <c r="C245" s="3" t="s">
        <v>38</v>
      </c>
      <c r="D245" s="54"/>
      <c r="E245" s="56"/>
      <c r="F245" s="55" t="s">
        <v>87</v>
      </c>
      <c r="G245" s="57">
        <f>SUM(G221:G244)</f>
        <v>0</v>
      </c>
    </row>
    <row r="246" spans="1:7" ht="15">
      <c r="A246" s="187"/>
      <c r="B246" s="58"/>
      <c r="C246" s="59"/>
      <c r="D246" s="60"/>
      <c r="E246" s="193"/>
      <c r="F246" s="60"/>
      <c r="G246" s="61"/>
    </row>
    <row r="247" spans="1:7" ht="15">
      <c r="A247" s="184"/>
      <c r="B247" s="16"/>
      <c r="C247" s="17"/>
      <c r="D247" s="4"/>
      <c r="E247" s="163"/>
      <c r="F247" s="4"/>
      <c r="G247" s="18"/>
    </row>
    <row r="248" spans="1:7" ht="15">
      <c r="A248" s="184"/>
      <c r="B248" s="16"/>
      <c r="C248" s="17"/>
      <c r="D248" s="4"/>
      <c r="E248" s="163"/>
      <c r="F248" s="4"/>
      <c r="G248" s="18"/>
    </row>
    <row r="249" spans="1:7" ht="15">
      <c r="A249" s="184"/>
      <c r="B249" s="16"/>
      <c r="C249" s="17"/>
      <c r="D249" s="4"/>
      <c r="E249" s="163"/>
      <c r="F249" s="4"/>
      <c r="G249" s="18"/>
    </row>
    <row r="251" spans="1:7" ht="18">
      <c r="A251" s="436" t="s">
        <v>73</v>
      </c>
      <c r="B251" s="436"/>
      <c r="C251" s="436"/>
      <c r="D251" s="436"/>
      <c r="E251" s="436"/>
      <c r="F251" s="436"/>
      <c r="G251" s="436"/>
    </row>
    <row r="252" spans="1:7" ht="18">
      <c r="A252" s="422"/>
      <c r="B252" s="422"/>
      <c r="C252" s="422"/>
      <c r="D252" s="422"/>
      <c r="E252" s="422"/>
      <c r="F252" s="422"/>
      <c r="G252" s="422"/>
    </row>
    <row r="253" spans="1:7" ht="18">
      <c r="A253" s="422"/>
      <c r="B253" s="422"/>
      <c r="C253" s="422"/>
      <c r="D253" s="422"/>
      <c r="E253" s="422"/>
      <c r="F253" s="422"/>
      <c r="G253" s="422"/>
    </row>
    <row r="254" spans="1:7" ht="15.75">
      <c r="A254" s="93"/>
      <c r="B254" s="54"/>
      <c r="C254" s="54"/>
      <c r="D254" s="54"/>
      <c r="E254" s="56"/>
      <c r="F254" s="54"/>
      <c r="G254" s="57"/>
    </row>
    <row r="255" spans="1:7" ht="15.75">
      <c r="A255" s="93"/>
      <c r="B255" s="54"/>
      <c r="C255" s="3"/>
      <c r="D255" s="54"/>
      <c r="E255" s="56"/>
      <c r="F255" s="54"/>
      <c r="G255" s="57"/>
    </row>
    <row r="256" spans="1:7" ht="15.75">
      <c r="A256" s="93"/>
      <c r="B256" s="54" t="s">
        <v>101</v>
      </c>
      <c r="C256" s="93" t="str">
        <f>C2</f>
        <v>FEKALNA KANALIZACIJA</v>
      </c>
      <c r="D256" s="54"/>
      <c r="E256" s="56"/>
      <c r="F256" s="54"/>
      <c r="G256" s="57"/>
    </row>
    <row r="257" spans="1:7" ht="15.75">
      <c r="A257" s="93"/>
      <c r="B257" s="54"/>
      <c r="C257" s="3"/>
      <c r="D257" s="54"/>
      <c r="E257" s="56"/>
      <c r="F257" s="54"/>
      <c r="G257" s="57"/>
    </row>
    <row r="258" spans="1:7" ht="15.75">
      <c r="A258" s="93"/>
      <c r="B258" s="54"/>
      <c r="C258" s="103" t="str">
        <f>A4&amp;" "&amp;C4</f>
        <v>A) PRIPREMNI RADOVI</v>
      </c>
      <c r="D258" s="2"/>
      <c r="E258" s="104"/>
      <c r="F258" s="62" t="s">
        <v>87</v>
      </c>
      <c r="G258" s="105">
        <f>G20</f>
        <v>0</v>
      </c>
    </row>
    <row r="259" spans="1:7" ht="15.75">
      <c r="A259" s="93"/>
      <c r="B259" s="54"/>
      <c r="C259" s="3"/>
      <c r="D259" s="54"/>
      <c r="E259" s="56"/>
      <c r="F259" s="54"/>
      <c r="G259" s="57"/>
    </row>
    <row r="260" spans="1:7" ht="15.75">
      <c r="A260" s="93"/>
      <c r="B260" s="54"/>
      <c r="C260" s="103" t="str">
        <f>A23&amp;" "&amp;C23</f>
        <v>B) ZEMLJANI RADOVI</v>
      </c>
      <c r="D260" s="2"/>
      <c r="E260" s="104"/>
      <c r="F260" s="62" t="s">
        <v>87</v>
      </c>
      <c r="G260" s="105">
        <f>G80</f>
        <v>0</v>
      </c>
    </row>
    <row r="261" spans="1:7" ht="15.75">
      <c r="A261" s="93"/>
      <c r="B261" s="54"/>
      <c r="C261" s="103"/>
      <c r="D261" s="2"/>
      <c r="E261" s="104"/>
      <c r="F261" s="62"/>
      <c r="G261" s="105"/>
    </row>
    <row r="262" spans="1:7" ht="15.75">
      <c r="A262" s="93"/>
      <c r="B262" s="54"/>
      <c r="C262" s="103" t="str">
        <f>A83&amp;" "&amp;C83</f>
        <v>C) BETONSKI RADOVI</v>
      </c>
      <c r="D262" s="2"/>
      <c r="E262" s="104"/>
      <c r="F262" s="62" t="s">
        <v>87</v>
      </c>
      <c r="G262" s="105">
        <f>G103</f>
        <v>0</v>
      </c>
    </row>
    <row r="263" spans="1:7" ht="15.75">
      <c r="A263" s="93"/>
      <c r="B263" s="54"/>
      <c r="C263" s="106"/>
      <c r="D263" s="2"/>
      <c r="E263" s="104"/>
      <c r="F263" s="62"/>
      <c r="G263" s="105"/>
    </row>
    <row r="264" spans="1:7" ht="15.75">
      <c r="A264" s="93"/>
      <c r="B264" s="54"/>
      <c r="C264" s="103" t="str">
        <f>A106&amp;" "&amp;C106</f>
        <v>D) DOBAVA, DOPREMA I UGRADNJA MATERIJALA</v>
      </c>
      <c r="D264" s="2"/>
      <c r="E264" s="104"/>
      <c r="F264" s="62" t="s">
        <v>87</v>
      </c>
      <c r="G264" s="105">
        <f>G157</f>
        <v>0</v>
      </c>
    </row>
    <row r="265" spans="1:7" ht="15.75">
      <c r="A265" s="93"/>
      <c r="B265" s="54"/>
      <c r="C265" s="106"/>
      <c r="D265" s="2"/>
      <c r="E265" s="104"/>
      <c r="F265" s="62"/>
      <c r="G265" s="105"/>
    </row>
    <row r="266" spans="1:7" ht="15.75">
      <c r="A266" s="93"/>
      <c r="B266" s="54"/>
      <c r="C266" s="103" t="str">
        <f>A160&amp;" "&amp;C160</f>
        <v>E) PRIPREMA KUĆNIH PRIKLJUČAKA NA JAVNOJ POVRŠINI</v>
      </c>
      <c r="D266" s="2"/>
      <c r="E266" s="104"/>
      <c r="F266" s="62" t="s">
        <v>87</v>
      </c>
      <c r="G266" s="105">
        <f>G219</f>
        <v>0</v>
      </c>
    </row>
    <row r="267" spans="1:7" ht="15.75">
      <c r="A267" s="93"/>
      <c r="B267" s="54"/>
      <c r="C267" s="106"/>
      <c r="D267" s="2"/>
      <c r="E267" s="104"/>
      <c r="F267" s="62"/>
      <c r="G267" s="105"/>
    </row>
    <row r="268" spans="1:7" ht="15.75">
      <c r="A268" s="93"/>
      <c r="B268" s="54"/>
      <c r="C268" s="103" t="str">
        <f>A221&amp;" "&amp;C221</f>
        <v>F) OSTALI RADOVI</v>
      </c>
      <c r="D268" s="2"/>
      <c r="E268" s="104"/>
      <c r="F268" s="62" t="s">
        <v>87</v>
      </c>
      <c r="G268" s="105">
        <f>G245</f>
        <v>0</v>
      </c>
    </row>
    <row r="269" spans="1:7" ht="15.75">
      <c r="A269" s="93"/>
      <c r="B269" s="54"/>
      <c r="C269" s="103"/>
      <c r="D269" s="2"/>
      <c r="E269" s="104"/>
      <c r="F269" s="62"/>
      <c r="G269" s="105"/>
    </row>
    <row r="270" spans="1:7" ht="16.5" thickBot="1">
      <c r="A270" s="212"/>
      <c r="B270" s="107"/>
      <c r="C270" s="108"/>
      <c r="D270" s="107"/>
      <c r="E270" s="109"/>
      <c r="F270" s="107"/>
      <c r="G270" s="110"/>
    </row>
    <row r="271" spans="1:7" ht="16.5" thickTop="1">
      <c r="A271" s="93"/>
      <c r="B271" s="54"/>
      <c r="C271" s="3"/>
      <c r="D271" s="54"/>
      <c r="E271" s="56"/>
      <c r="F271" s="54"/>
      <c r="G271" s="57"/>
    </row>
    <row r="272" spans="1:7" ht="15.75">
      <c r="A272" s="93"/>
      <c r="B272" s="54" t="s">
        <v>101</v>
      </c>
      <c r="C272" s="111" t="str">
        <f>"UKUPNO "&amp;C2&amp;":"</f>
        <v>UKUPNO FEKALNA KANALIZACIJA:</v>
      </c>
      <c r="D272" s="54"/>
      <c r="E272" s="56"/>
      <c r="F272" s="55" t="s">
        <v>87</v>
      </c>
      <c r="G272" s="57">
        <f>SUM(G258:G268)</f>
        <v>0</v>
      </c>
    </row>
    <row r="273" spans="1:7" ht="16.5" thickBot="1">
      <c r="A273" s="212"/>
      <c r="B273" s="107"/>
      <c r="C273" s="108"/>
      <c r="D273" s="107"/>
      <c r="E273" s="109"/>
      <c r="F273" s="107"/>
      <c r="G273" s="110"/>
    </row>
    <row r="274" spans="1:7" s="10" customFormat="1" ht="15" thickTop="1">
      <c r="A274" s="181"/>
      <c r="B274" s="8"/>
      <c r="C274" s="43"/>
      <c r="G274" s="8"/>
    </row>
  </sheetData>
  <mergeCells count="1">
    <mergeCell ref="A251:G251"/>
  </mergeCells>
  <pageMargins left="0.70866141732283472" right="0.70866141732283472" top="0.74803149606299213" bottom="0.74803149606299213" header="0.31496062992125984" footer="0.31496062992125984"/>
  <pageSetup paperSize="9" scale="83" firstPageNumber="32" fitToHeight="0" orientation="portrait" useFirstPageNumber="1" r:id="rId1"/>
  <headerFooter>
    <oddHeader>&amp;L&amp;8FLUM-ING d.o.o.</oddHeader>
    <oddFooter>&amp;L&amp;8Vodovodni ogranak i kanalizacijska
mreža u Banjolu, Vatrogasni dom-Brni&amp;R&amp;8&amp;P</oddFooter>
  </headerFooter>
  <rowBreaks count="14" manualBreakCount="14">
    <brk id="21" max="16383" man="1"/>
    <brk id="40" min="3" max="6" man="1"/>
    <brk id="66" max="6" man="1"/>
    <brk id="81" max="16383" man="1"/>
    <brk id="104" max="16383" man="1"/>
    <brk id="111" max="6" man="1"/>
    <brk id="120" max="6" man="1"/>
    <brk id="145" max="6" man="1"/>
    <brk id="158" max="16383" man="1"/>
    <brk id="188" max="6" man="1"/>
    <brk id="201" max="6" man="1"/>
    <brk id="219" min="3" max="6" man="1"/>
    <brk id="230" max="6" man="1"/>
    <brk id="24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3B68-41F7-4CFF-9A8D-20446D6B54B7}">
  <dimension ref="A1:G238"/>
  <sheetViews>
    <sheetView showGridLines="0" showZeros="0" view="pageBreakPreview" topLeftCell="A204" zoomScale="90" zoomScaleNormal="100" zoomScaleSheetLayoutView="90" workbookViewId="0">
      <selection activeCell="J64" sqref="J64"/>
    </sheetView>
  </sheetViews>
  <sheetFormatPr defaultColWidth="9" defaultRowHeight="14.25"/>
  <cols>
    <col min="1" max="1" width="5.625" style="181" customWidth="1"/>
    <col min="2" max="2" width="5.625" style="8" customWidth="1"/>
    <col min="3" max="3" width="59" style="43" customWidth="1"/>
    <col min="4" max="4" width="2" style="10" bestFit="1" customWidth="1"/>
    <col min="5" max="5" width="8.875" style="10" bestFit="1" customWidth="1"/>
    <col min="6" max="6" width="3.5" style="10" bestFit="1" customWidth="1"/>
    <col min="7" max="7" width="11.75" style="8" customWidth="1"/>
    <col min="8" max="16384" width="9" style="43"/>
  </cols>
  <sheetData>
    <row r="1" spans="1:7">
      <c r="A1" s="292"/>
      <c r="B1" s="231"/>
      <c r="C1" s="233"/>
      <c r="D1" s="232"/>
      <c r="E1" s="232"/>
      <c r="F1" s="232"/>
      <c r="G1" s="231"/>
    </row>
    <row r="2" spans="1:7" ht="18">
      <c r="A2" s="424" t="s">
        <v>125</v>
      </c>
      <c r="B2" s="425"/>
      <c r="C2" s="423" t="s">
        <v>167</v>
      </c>
      <c r="D2" s="429"/>
      <c r="E2" s="429"/>
      <c r="F2" s="429"/>
      <c r="G2" s="425"/>
    </row>
    <row r="3" spans="1:7" ht="15">
      <c r="A3" s="223"/>
      <c r="B3" s="234"/>
      <c r="C3" s="235"/>
      <c r="D3" s="220"/>
      <c r="E3" s="221"/>
      <c r="F3" s="220"/>
      <c r="G3" s="222"/>
    </row>
    <row r="4" spans="1:7" ht="15.75">
      <c r="A4" s="93" t="s">
        <v>1</v>
      </c>
      <c r="B4" s="62"/>
      <c r="C4" s="3" t="s">
        <v>2</v>
      </c>
      <c r="D4" s="2"/>
      <c r="E4" s="104"/>
      <c r="F4" s="2"/>
      <c r="G4" s="65"/>
    </row>
    <row r="5" spans="1:7" s="12" customFormat="1" ht="15">
      <c r="A5" s="184"/>
      <c r="B5" s="16"/>
      <c r="C5" s="17"/>
      <c r="D5" s="10"/>
      <c r="E5" s="180"/>
      <c r="F5" s="10"/>
      <c r="G5" s="20"/>
    </row>
    <row r="6" spans="1:7" ht="157.5">
      <c r="A6" s="184" t="s">
        <v>3</v>
      </c>
      <c r="B6" s="16"/>
      <c r="C6" s="21" t="s">
        <v>153</v>
      </c>
      <c r="D6" s="4"/>
      <c r="E6" s="163"/>
      <c r="F6" s="4"/>
      <c r="G6" s="66"/>
    </row>
    <row r="7" spans="1:7" ht="15">
      <c r="A7" s="185"/>
      <c r="B7" s="23" t="s">
        <v>172</v>
      </c>
      <c r="C7" s="149">
        <f>'I) ZAJEDNIČKI RADOVI'!E14</f>
        <v>186</v>
      </c>
      <c r="D7" s="24"/>
      <c r="E7" s="161"/>
      <c r="F7" s="24"/>
      <c r="G7" s="66"/>
    </row>
    <row r="8" spans="1:7" ht="15">
      <c r="A8" s="185"/>
      <c r="B8" s="23"/>
      <c r="C8" s="26" t="str">
        <f>"UKUPNO: "&amp;C9&amp;" m'"</f>
        <v>UKUPNO: 186 m'</v>
      </c>
      <c r="D8" s="24"/>
      <c r="E8" s="161"/>
      <c r="F8" s="24"/>
      <c r="G8" s="66"/>
    </row>
    <row r="9" spans="1:7" ht="15">
      <c r="A9" s="184"/>
      <c r="B9" s="13" t="s">
        <v>8</v>
      </c>
      <c r="C9" s="27">
        <f>C7</f>
        <v>186</v>
      </c>
      <c r="D9" s="7" t="s">
        <v>95</v>
      </c>
      <c r="E9" s="162"/>
      <c r="F9" s="14" t="s">
        <v>6</v>
      </c>
      <c r="G9" s="66">
        <f>C9*E9</f>
        <v>0</v>
      </c>
    </row>
    <row r="10" spans="1:7" ht="15">
      <c r="A10" s="184"/>
      <c r="B10" s="13"/>
      <c r="C10" s="27"/>
      <c r="D10" s="7"/>
      <c r="E10" s="162"/>
      <c r="F10" s="14"/>
      <c r="G10" s="66"/>
    </row>
    <row r="11" spans="1:7" ht="15">
      <c r="A11" s="184"/>
      <c r="B11" s="13"/>
      <c r="C11" s="27"/>
      <c r="D11" s="7"/>
      <c r="E11" s="162"/>
      <c r="F11" s="14"/>
      <c r="G11" s="66"/>
    </row>
    <row r="12" spans="1:7" s="12" customFormat="1" ht="15">
      <c r="A12" s="223"/>
      <c r="B12" s="234"/>
      <c r="C12" s="235"/>
      <c r="D12" s="232"/>
      <c r="E12" s="236"/>
      <c r="F12" s="232"/>
      <c r="G12" s="237"/>
    </row>
    <row r="13" spans="1:7" ht="15">
      <c r="A13" s="186"/>
      <c r="B13" s="50"/>
      <c r="C13" s="51"/>
      <c r="D13" s="52"/>
      <c r="E13" s="192"/>
      <c r="F13" s="52"/>
      <c r="G13" s="70"/>
    </row>
    <row r="14" spans="1:7" ht="15.75">
      <c r="A14" s="93" t="s">
        <v>1</v>
      </c>
      <c r="B14" s="55"/>
      <c r="C14" s="3" t="s">
        <v>14</v>
      </c>
      <c r="D14" s="54"/>
      <c r="E14" s="56"/>
      <c r="F14" s="54" t="s">
        <v>87</v>
      </c>
      <c r="G14" s="71">
        <f>SUM(G4:G13)</f>
        <v>0</v>
      </c>
    </row>
    <row r="15" spans="1:7" ht="15">
      <c r="A15" s="187"/>
      <c r="B15" s="58"/>
      <c r="C15" s="59"/>
      <c r="D15" s="60"/>
      <c r="E15" s="193"/>
      <c r="F15" s="60"/>
      <c r="G15" s="72"/>
    </row>
    <row r="16" spans="1:7" ht="15">
      <c r="A16" s="223"/>
      <c r="B16" s="234"/>
      <c r="C16" s="235"/>
      <c r="D16" s="220"/>
      <c r="E16" s="221"/>
      <c r="F16" s="220"/>
      <c r="G16" s="259"/>
    </row>
    <row r="17" spans="1:7" ht="15.75">
      <c r="A17" s="93" t="s">
        <v>18</v>
      </c>
      <c r="B17" s="55"/>
      <c r="C17" s="3" t="s">
        <v>19</v>
      </c>
      <c r="D17" s="252"/>
      <c r="E17" s="253"/>
      <c r="F17" s="252"/>
      <c r="G17" s="260"/>
    </row>
    <row r="18" spans="1:7" ht="15">
      <c r="A18" s="223"/>
      <c r="B18" s="234"/>
      <c r="C18" s="243"/>
      <c r="D18" s="220"/>
      <c r="E18" s="236"/>
      <c r="F18" s="220"/>
      <c r="G18" s="261"/>
    </row>
    <row r="19" spans="1:7" s="12" customFormat="1" ht="207" customHeight="1">
      <c r="A19" s="184" t="s">
        <v>3</v>
      </c>
      <c r="B19" s="23"/>
      <c r="C19" s="73" t="s">
        <v>110</v>
      </c>
      <c r="D19" s="24"/>
      <c r="E19" s="161"/>
      <c r="F19" s="24"/>
      <c r="G19" s="64"/>
    </row>
    <row r="20" spans="1:7" s="12" customFormat="1" ht="213.75">
      <c r="A20" s="184"/>
      <c r="B20" s="23"/>
      <c r="C20" s="73" t="s">
        <v>25</v>
      </c>
      <c r="D20" s="24"/>
      <c r="E20" s="161"/>
      <c r="F20" s="24"/>
      <c r="G20" s="64"/>
    </row>
    <row r="21" spans="1:7" ht="23.25" customHeight="1">
      <c r="A21" s="184"/>
      <c r="B21" s="23"/>
      <c r="C21" s="375" t="s">
        <v>305</v>
      </c>
      <c r="D21" s="24"/>
      <c r="E21" s="161"/>
      <c r="F21" s="24"/>
      <c r="G21" s="64"/>
    </row>
    <row r="22" spans="1:7" ht="15">
      <c r="A22" s="238"/>
      <c r="B22" s="23" t="s">
        <v>172</v>
      </c>
      <c r="C22" s="168" t="str">
        <f>"- iz iskaza masa (volumen iskopa): "&amp;ROUNDUP((375.71),1)&amp;" m³"</f>
        <v>- iz iskaza masa (volumen iskopa): 375,8 m³</v>
      </c>
      <c r="D22" s="284"/>
      <c r="E22" s="293"/>
      <c r="F22" s="284"/>
      <c r="G22" s="285"/>
    </row>
    <row r="23" spans="1:7" ht="15">
      <c r="A23" s="238"/>
      <c r="B23" s="23" t="s">
        <v>307</v>
      </c>
      <c r="C23" s="382" t="str">
        <f>"- dodatna proširenja oko slivnika: 1,7×2,1×1,5 = "&amp;ROUNDUP((1.7*2.1*1.5),2)&amp;" m³"</f>
        <v>- dodatna proširenja oko slivnika: 1,7×2,1×1,5 = 5,36 m³</v>
      </c>
      <c r="D23" s="284"/>
      <c r="E23" s="293"/>
      <c r="F23" s="284"/>
      <c r="G23" s="285"/>
    </row>
    <row r="24" spans="1:7" s="173" customFormat="1" ht="15">
      <c r="A24" s="170"/>
      <c r="B24" s="177"/>
      <c r="C24" s="391" t="str">
        <f>"UKUPNO: "&amp;ROUNDUP((375.8+5.36),1)&amp;" m³"</f>
        <v>UKUPNO: 381,2 m³</v>
      </c>
      <c r="D24" s="171"/>
      <c r="E24" s="195"/>
      <c r="F24" s="171"/>
      <c r="G24" s="172"/>
    </row>
    <row r="25" spans="1:7" s="173" customFormat="1" ht="7.5" customHeight="1">
      <c r="A25" s="170"/>
      <c r="B25" s="177"/>
      <c r="C25" s="178"/>
      <c r="D25" s="171"/>
      <c r="E25" s="195"/>
      <c r="F25" s="171"/>
      <c r="G25" s="172"/>
    </row>
    <row r="26" spans="1:7" ht="15">
      <c r="A26" s="185"/>
      <c r="B26" s="33" t="s">
        <v>20</v>
      </c>
      <c r="C26" s="167">
        <f>ROUNDUP(381.2,0)</f>
        <v>382</v>
      </c>
      <c r="D26" s="22" t="s">
        <v>95</v>
      </c>
      <c r="E26" s="162"/>
      <c r="F26" s="14" t="s">
        <v>6</v>
      </c>
      <c r="G26" s="15">
        <f>+E26*C26</f>
        <v>0</v>
      </c>
    </row>
    <row r="27" spans="1:7">
      <c r="A27" s="292"/>
      <c r="B27" s="231"/>
      <c r="C27" s="291"/>
      <c r="D27" s="232"/>
      <c r="E27" s="232"/>
      <c r="F27" s="232"/>
      <c r="G27" s="231"/>
    </row>
    <row r="28" spans="1:7" ht="129">
      <c r="A28" s="184" t="s">
        <v>7</v>
      </c>
      <c r="B28" s="16"/>
      <c r="C28" s="73" t="s">
        <v>90</v>
      </c>
      <c r="D28" s="4"/>
      <c r="E28" s="163"/>
      <c r="F28" s="4"/>
      <c r="G28" s="18"/>
    </row>
    <row r="29" spans="1:7" ht="15">
      <c r="A29" s="174"/>
      <c r="C29" s="78" t="s">
        <v>181</v>
      </c>
      <c r="E29" s="96"/>
      <c r="G29" s="75"/>
    </row>
    <row r="30" spans="1:7" ht="15">
      <c r="A30" s="185"/>
      <c r="B30" s="23" t="s">
        <v>172</v>
      </c>
      <c r="C30" s="168" t="str">
        <f>"- planiranje rova: 186,0 m²"</f>
        <v>- planiranje rova: 186,0 m²</v>
      </c>
      <c r="D30" s="24"/>
      <c r="E30" s="161"/>
      <c r="F30" s="24"/>
      <c r="G30" s="25"/>
    </row>
    <row r="31" spans="1:7" s="200" customFormat="1" ht="15">
      <c r="A31" s="188"/>
      <c r="B31" s="196"/>
      <c r="C31" s="201" t="str">
        <f>"UKUPNO: "&amp;ROUNDUP((186),1)&amp;" m²"</f>
        <v>UKUPNO: 186 m²</v>
      </c>
      <c r="D31" s="197"/>
      <c r="E31" s="198"/>
      <c r="F31" s="197"/>
      <c r="G31" s="199"/>
    </row>
    <row r="32" spans="1:7" s="200" customFormat="1" ht="9" customHeight="1">
      <c r="A32" s="188"/>
      <c r="B32" s="196"/>
      <c r="C32" s="201"/>
      <c r="D32" s="197"/>
      <c r="E32" s="198"/>
      <c r="F32" s="197"/>
      <c r="G32" s="199"/>
    </row>
    <row r="33" spans="1:7" ht="15">
      <c r="A33" s="185"/>
      <c r="B33" s="33" t="s">
        <v>13</v>
      </c>
      <c r="C33" s="167">
        <f>ROUNDUP(186,0)</f>
        <v>186</v>
      </c>
      <c r="D33" s="22" t="s">
        <v>95</v>
      </c>
      <c r="E33" s="162"/>
      <c r="F33" s="14" t="s">
        <v>6</v>
      </c>
      <c r="G33" s="15">
        <f>+E33*C33</f>
        <v>0</v>
      </c>
    </row>
    <row r="34" spans="1:7" ht="9.75" customHeight="1">
      <c r="A34" s="223"/>
      <c r="B34" s="234"/>
      <c r="C34" s="265"/>
      <c r="D34" s="220"/>
      <c r="E34" s="236"/>
      <c r="F34" s="220"/>
      <c r="G34" s="261"/>
    </row>
    <row r="35" spans="1:7" ht="121.5" customHeight="1">
      <c r="A35" s="184" t="s">
        <v>41</v>
      </c>
      <c r="B35" s="16"/>
      <c r="C35" s="76" t="s">
        <v>260</v>
      </c>
      <c r="D35" s="4"/>
      <c r="E35" s="163"/>
      <c r="F35" s="4"/>
      <c r="G35" s="18"/>
    </row>
    <row r="36" spans="1:7" ht="15">
      <c r="A36" s="174"/>
      <c r="C36" s="78" t="s">
        <v>119</v>
      </c>
      <c r="E36" s="96"/>
      <c r="G36" s="75"/>
    </row>
    <row r="37" spans="1:7" ht="15">
      <c r="A37" s="188"/>
      <c r="B37" s="23" t="s">
        <v>172</v>
      </c>
      <c r="C37" s="168" t="str">
        <f>"- pješčana posteljica: "&amp;ROUNDUP((38.11),1)&amp;" m³"</f>
        <v>- pješčana posteljica: 38,2 m³</v>
      </c>
      <c r="D37" s="164"/>
      <c r="E37" s="392"/>
      <c r="F37" s="164"/>
      <c r="G37" s="393"/>
    </row>
    <row r="38" spans="1:7" s="200" customFormat="1" ht="15">
      <c r="A38" s="188"/>
      <c r="B38" s="196"/>
      <c r="C38" s="374" t="str">
        <f>"UKUPNO: "&amp;ROUNDUP((38.2),1)&amp;" m³"</f>
        <v>UKUPNO: 38,2 m³</v>
      </c>
      <c r="D38" s="197"/>
      <c r="E38" s="198"/>
      <c r="F38" s="197"/>
      <c r="G38" s="199"/>
    </row>
    <row r="39" spans="1:7" s="200" customFormat="1" ht="9.75" customHeight="1">
      <c r="A39" s="188"/>
      <c r="B39" s="196"/>
      <c r="C39" s="201"/>
      <c r="D39" s="197"/>
      <c r="E39" s="198"/>
      <c r="F39" s="197"/>
      <c r="G39" s="199"/>
    </row>
    <row r="40" spans="1:7" ht="15">
      <c r="A40" s="185"/>
      <c r="B40" s="33" t="s">
        <v>20</v>
      </c>
      <c r="C40" s="167">
        <f>ROUNDUP(38.2,0)</f>
        <v>39</v>
      </c>
      <c r="D40" s="22" t="s">
        <v>95</v>
      </c>
      <c r="E40" s="162"/>
      <c r="F40" s="14" t="s">
        <v>6</v>
      </c>
      <c r="G40" s="15">
        <f>+E40*C40</f>
        <v>0</v>
      </c>
    </row>
    <row r="41" spans="1:7" ht="15">
      <c r="A41" s="223"/>
      <c r="B41" s="234"/>
      <c r="C41" s="265"/>
      <c r="D41" s="220"/>
      <c r="E41" s="236"/>
      <c r="F41" s="220"/>
      <c r="G41" s="261"/>
    </row>
    <row r="42" spans="1:7" ht="115.5">
      <c r="A42" s="184" t="s">
        <v>42</v>
      </c>
      <c r="C42" s="76" t="s">
        <v>261</v>
      </c>
      <c r="E42" s="202"/>
      <c r="G42" s="77"/>
    </row>
    <row r="43" spans="1:7" ht="15">
      <c r="A43" s="174"/>
      <c r="C43" s="78" t="s">
        <v>120</v>
      </c>
      <c r="E43" s="96"/>
      <c r="G43" s="75"/>
    </row>
    <row r="44" spans="1:7" ht="15">
      <c r="A44" s="188"/>
      <c r="B44" s="23" t="s">
        <v>172</v>
      </c>
      <c r="C44" s="168" t="str">
        <f>"- pješčana obloga: "&amp;ROUNDUP((122.15),1)&amp;" m³"</f>
        <v>- pješčana obloga: 122,2 m³</v>
      </c>
      <c r="D44" s="164"/>
      <c r="E44" s="392"/>
      <c r="F44" s="164"/>
      <c r="G44" s="393"/>
    </row>
    <row r="45" spans="1:7" ht="15">
      <c r="A45" s="188"/>
      <c r="B45" s="23" t="s">
        <v>307</v>
      </c>
      <c r="C45" s="168" t="str">
        <f>"- pješčana obloga oko cijevi slivnika: "&amp;ROUNDUP((1.22),1)&amp;" m³"</f>
        <v>- pješčana obloga oko cijevi slivnika: 1,3 m³</v>
      </c>
      <c r="D45" s="164"/>
      <c r="E45" s="392"/>
      <c r="F45" s="164"/>
      <c r="G45" s="393"/>
    </row>
    <row r="46" spans="1:7" s="200" customFormat="1" ht="15">
      <c r="A46" s="188"/>
      <c r="B46" s="196"/>
      <c r="C46" s="374" t="str">
        <f>"UKUPNO: "&amp;ROUNDUP((122.15+1.22),1)&amp;" m³"</f>
        <v>UKUPNO: 123,4 m³</v>
      </c>
      <c r="D46" s="197"/>
      <c r="E46" s="198"/>
      <c r="F46" s="197"/>
      <c r="G46" s="199"/>
    </row>
    <row r="47" spans="1:7" s="200" customFormat="1" ht="15">
      <c r="A47" s="188"/>
      <c r="B47" s="196"/>
      <c r="C47" s="201"/>
      <c r="D47" s="197"/>
      <c r="E47" s="198"/>
      <c r="F47" s="197"/>
      <c r="G47" s="199"/>
    </row>
    <row r="48" spans="1:7" ht="15">
      <c r="A48" s="185"/>
      <c r="B48" s="33" t="s">
        <v>20</v>
      </c>
      <c r="C48" s="167">
        <f>ROUNDUP(122.15,0)</f>
        <v>123</v>
      </c>
      <c r="D48" s="22" t="s">
        <v>95</v>
      </c>
      <c r="E48" s="162"/>
      <c r="F48" s="14" t="s">
        <v>6</v>
      </c>
      <c r="G48" s="15">
        <f>+E48*C48</f>
        <v>0</v>
      </c>
    </row>
    <row r="49" spans="1:7" ht="15">
      <c r="A49" s="223"/>
      <c r="B49" s="234"/>
      <c r="C49" s="265"/>
      <c r="D49" s="220"/>
      <c r="E49" s="236"/>
      <c r="F49" s="220"/>
      <c r="G49" s="261"/>
    </row>
    <row r="50" spans="1:7" ht="100.5">
      <c r="A50" s="174" t="s">
        <v>43</v>
      </c>
      <c r="C50" s="76" t="s">
        <v>268</v>
      </c>
      <c r="E50" s="202"/>
      <c r="G50" s="77"/>
    </row>
    <row r="51" spans="1:7" ht="15">
      <c r="A51" s="174"/>
      <c r="C51" s="78" t="s">
        <v>123</v>
      </c>
      <c r="E51" s="96"/>
      <c r="G51" s="75"/>
    </row>
    <row r="52" spans="1:7" ht="15">
      <c r="A52" s="188"/>
      <c r="B52" s="23" t="s">
        <v>172</v>
      </c>
      <c r="C52" s="168" t="str">
        <f>"- zamjenski materijal: "&amp;ROUNDUP((101.9),1)&amp;" m³"</f>
        <v>- zamjenski materijal: 101,9 m³</v>
      </c>
      <c r="D52" s="164"/>
      <c r="E52" s="392"/>
      <c r="F52" s="164"/>
      <c r="G52" s="393"/>
    </row>
    <row r="53" spans="1:7" ht="15">
      <c r="A53" s="188"/>
      <c r="B53" s="23" t="s">
        <v>307</v>
      </c>
      <c r="C53" s="168" t="str">
        <f>"- zamjenski materijal oko okna slivnika: "&amp;ROUNDUP((1.5),1)&amp;" m³"</f>
        <v>- zamjenski materijal oko okna slivnika: 1,5 m³</v>
      </c>
      <c r="D53" s="164"/>
      <c r="E53" s="392"/>
      <c r="F53" s="164"/>
      <c r="G53" s="393"/>
    </row>
    <row r="54" spans="1:7" s="200" customFormat="1" ht="15">
      <c r="A54" s="188"/>
      <c r="B54" s="196"/>
      <c r="C54" s="374" t="str">
        <f>"UKUPNO: "&amp;ROUNDUP((101.9+1.5),1)&amp;" m³"</f>
        <v>UKUPNO: 103,4 m³</v>
      </c>
      <c r="D54" s="197"/>
      <c r="E54" s="198"/>
      <c r="F54" s="197"/>
      <c r="G54" s="199"/>
    </row>
    <row r="55" spans="1:7" s="200" customFormat="1" ht="15">
      <c r="A55" s="188"/>
      <c r="B55" s="196"/>
      <c r="C55" s="201"/>
      <c r="D55" s="197"/>
      <c r="E55" s="198"/>
      <c r="F55" s="197"/>
      <c r="G55" s="199"/>
    </row>
    <row r="56" spans="1:7" ht="15">
      <c r="A56" s="185"/>
      <c r="B56" s="33" t="s">
        <v>20</v>
      </c>
      <c r="C56" s="167">
        <f>ROUNDUP(103.4,0)</f>
        <v>104</v>
      </c>
      <c r="D56" s="22" t="s">
        <v>95</v>
      </c>
      <c r="E56" s="162"/>
      <c r="F56" s="14" t="s">
        <v>6</v>
      </c>
      <c r="G56" s="15">
        <f>+E56*C56</f>
        <v>0</v>
      </c>
    </row>
    <row r="57" spans="1:7" ht="15">
      <c r="A57" s="223"/>
      <c r="B57" s="225"/>
      <c r="C57" s="277"/>
      <c r="D57" s="226"/>
      <c r="E57" s="278"/>
      <c r="F57" s="228"/>
      <c r="G57" s="264"/>
    </row>
    <row r="58" spans="1:7" s="12" customFormat="1" ht="186">
      <c r="A58" s="184" t="s">
        <v>44</v>
      </c>
      <c r="B58" s="16"/>
      <c r="C58" s="29" t="s">
        <v>270</v>
      </c>
      <c r="D58" s="4"/>
      <c r="E58" s="163"/>
      <c r="F58" s="4"/>
      <c r="G58" s="6"/>
    </row>
    <row r="59" spans="1:7" s="12" customFormat="1" ht="15">
      <c r="A59" s="174"/>
      <c r="B59" s="8"/>
      <c r="C59" s="78" t="s">
        <v>126</v>
      </c>
      <c r="D59" s="10"/>
      <c r="E59" s="194"/>
      <c r="F59" s="10"/>
      <c r="G59" s="75"/>
    </row>
    <row r="60" spans="1:7" ht="15">
      <c r="A60" s="395"/>
      <c r="B60" s="23" t="s">
        <v>172</v>
      </c>
      <c r="C60" s="205" t="str">
        <f>"381,2 × 1,35 = "&amp;ROUNDUP(((381.2)*1.35),0)&amp;" m³"</f>
        <v>381,2 × 1,35 = 515 m³</v>
      </c>
      <c r="D60" s="4"/>
      <c r="E60" s="203"/>
      <c r="F60" s="4"/>
      <c r="G60" s="18"/>
    </row>
    <row r="61" spans="1:7" ht="15">
      <c r="A61" s="185" t="s">
        <v>57</v>
      </c>
      <c r="B61" s="34"/>
      <c r="C61" s="80" t="s">
        <v>22</v>
      </c>
      <c r="D61" s="24"/>
      <c r="E61" s="161"/>
      <c r="F61" s="24"/>
      <c r="G61" s="6" t="s">
        <v>11</v>
      </c>
    </row>
    <row r="62" spans="1:7" ht="15">
      <c r="A62" s="185"/>
      <c r="B62" s="13" t="s">
        <v>20</v>
      </c>
      <c r="C62" s="27">
        <f>ROUNDUP((381.2)*1.35,0)</f>
        <v>515</v>
      </c>
      <c r="D62" s="22" t="s">
        <v>95</v>
      </c>
      <c r="E62" s="204"/>
      <c r="F62" s="14" t="s">
        <v>6</v>
      </c>
      <c r="G62" s="15">
        <f>+E62*C62</f>
        <v>0</v>
      </c>
    </row>
    <row r="63" spans="1:7" ht="15">
      <c r="A63" s="185" t="s">
        <v>58</v>
      </c>
      <c r="B63" s="34"/>
      <c r="C63" s="80" t="s">
        <v>23</v>
      </c>
      <c r="D63" s="24"/>
      <c r="E63" s="161"/>
      <c r="F63" s="24"/>
      <c r="G63" s="6" t="s">
        <v>11</v>
      </c>
    </row>
    <row r="64" spans="1:7" ht="15">
      <c r="A64" s="185"/>
      <c r="B64" s="13" t="s">
        <v>20</v>
      </c>
      <c r="C64" s="27">
        <f>C62</f>
        <v>515</v>
      </c>
      <c r="D64" s="22" t="s">
        <v>95</v>
      </c>
      <c r="E64" s="204"/>
      <c r="F64" s="14" t="s">
        <v>6</v>
      </c>
      <c r="G64" s="15">
        <f>+E64*C64</f>
        <v>0</v>
      </c>
    </row>
    <row r="65" spans="1:7" s="12" customFormat="1" ht="15">
      <c r="A65" s="185"/>
      <c r="B65" s="23"/>
      <c r="C65" s="63"/>
      <c r="D65" s="24"/>
      <c r="E65" s="180"/>
      <c r="F65" s="24"/>
      <c r="G65" s="6"/>
    </row>
    <row r="66" spans="1:7" ht="15">
      <c r="A66" s="186"/>
      <c r="B66" s="50"/>
      <c r="C66" s="51"/>
      <c r="D66" s="52"/>
      <c r="E66" s="192"/>
      <c r="F66" s="52"/>
      <c r="G66" s="53"/>
    </row>
    <row r="67" spans="1:7" ht="15.75">
      <c r="A67" s="93" t="s">
        <v>18</v>
      </c>
      <c r="B67" s="55"/>
      <c r="C67" s="3" t="s">
        <v>24</v>
      </c>
      <c r="D67" s="54"/>
      <c r="E67" s="56"/>
      <c r="F67" s="55" t="s">
        <v>87</v>
      </c>
      <c r="G67" s="57">
        <f>SUM(G17:G66)</f>
        <v>0</v>
      </c>
    </row>
    <row r="68" spans="1:7" ht="15">
      <c r="A68" s="254"/>
      <c r="B68" s="255"/>
      <c r="C68" s="256"/>
      <c r="D68" s="257"/>
      <c r="E68" s="258"/>
      <c r="F68" s="257"/>
      <c r="G68" s="280"/>
    </row>
    <row r="69" spans="1:7" ht="15">
      <c r="A69" s="223"/>
      <c r="B69" s="234"/>
      <c r="C69" s="235"/>
      <c r="D69" s="220"/>
      <c r="E69" s="221"/>
      <c r="F69" s="220"/>
      <c r="G69" s="222"/>
    </row>
    <row r="70" spans="1:7" ht="15.75">
      <c r="A70" s="93" t="s">
        <v>27</v>
      </c>
      <c r="B70" s="55"/>
      <c r="C70" s="3" t="s">
        <v>28</v>
      </c>
      <c r="D70" s="54"/>
      <c r="E70" s="56"/>
      <c r="F70" s="54"/>
      <c r="G70" s="327"/>
    </row>
    <row r="71" spans="1:7" s="151" customFormat="1" ht="16.5">
      <c r="A71" s="230"/>
      <c r="B71" s="231"/>
      <c r="C71" s="246"/>
      <c r="D71" s="232"/>
      <c r="E71" s="247"/>
      <c r="F71" s="232"/>
      <c r="G71" s="244"/>
    </row>
    <row r="72" spans="1:7" ht="247.5" customHeight="1">
      <c r="A72" s="174" t="s">
        <v>3</v>
      </c>
      <c r="B72" s="231"/>
      <c r="C72" s="48" t="s">
        <v>310</v>
      </c>
      <c r="D72" s="232"/>
      <c r="E72" s="236"/>
      <c r="F72" s="232"/>
      <c r="G72" s="261"/>
    </row>
    <row r="73" spans="1:7" ht="15">
      <c r="A73" s="184"/>
      <c r="B73" s="13" t="s">
        <v>4</v>
      </c>
      <c r="C73" s="37">
        <v>1</v>
      </c>
      <c r="D73" s="7" t="s">
        <v>95</v>
      </c>
      <c r="E73" s="162"/>
      <c r="F73" s="14" t="s">
        <v>6</v>
      </c>
      <c r="G73" s="15">
        <f>+E73*C73</f>
        <v>0</v>
      </c>
    </row>
    <row r="74" spans="1:7" s="151" customFormat="1" ht="16.5">
      <c r="A74" s="230"/>
      <c r="B74" s="231"/>
      <c r="C74" s="246"/>
      <c r="D74" s="232"/>
      <c r="E74" s="247"/>
      <c r="F74" s="232"/>
      <c r="G74" s="244"/>
    </row>
    <row r="75" spans="1:7" ht="302.25" customHeight="1">
      <c r="A75" s="174" t="s">
        <v>7</v>
      </c>
      <c r="B75" s="231"/>
      <c r="C75" s="48" t="s">
        <v>316</v>
      </c>
      <c r="D75" s="232"/>
      <c r="E75" s="236"/>
      <c r="F75" s="232"/>
      <c r="G75" s="261"/>
    </row>
    <row r="76" spans="1:7" ht="15">
      <c r="A76" s="230"/>
      <c r="B76" s="231"/>
      <c r="C76" s="406"/>
      <c r="D76" s="232"/>
      <c r="E76" s="236"/>
      <c r="F76" s="232"/>
      <c r="G76" s="261"/>
    </row>
    <row r="77" spans="1:7" ht="115.5" customHeight="1">
      <c r="A77" s="174" t="s">
        <v>29</v>
      </c>
      <c r="B77" s="239"/>
      <c r="C77" s="350" t="s">
        <v>308</v>
      </c>
      <c r="D77" s="220"/>
      <c r="E77" s="221"/>
      <c r="F77" s="220"/>
      <c r="G77" s="222"/>
    </row>
    <row r="78" spans="1:7" ht="15">
      <c r="A78" s="351"/>
      <c r="B78" s="352" t="s">
        <v>4</v>
      </c>
      <c r="C78" s="353">
        <v>2</v>
      </c>
      <c r="D78" s="351" t="s">
        <v>95</v>
      </c>
      <c r="E78" s="409"/>
      <c r="F78" s="355" t="s">
        <v>6</v>
      </c>
      <c r="G78" s="356">
        <f>C78*E78</f>
        <v>0</v>
      </c>
    </row>
    <row r="79" spans="1:7" ht="15">
      <c r="A79" s="351"/>
      <c r="B79" s="352"/>
      <c r="C79" s="353"/>
      <c r="D79" s="351"/>
      <c r="E79" s="409"/>
      <c r="F79" s="355"/>
      <c r="G79" s="356"/>
    </row>
    <row r="80" spans="1:7" ht="103.5">
      <c r="A80" s="174" t="s">
        <v>144</v>
      </c>
      <c r="B80" s="239"/>
      <c r="C80" s="350" t="s">
        <v>309</v>
      </c>
      <c r="D80" s="220"/>
      <c r="E80" s="221"/>
      <c r="F80" s="220"/>
      <c r="G80" s="222"/>
    </row>
    <row r="81" spans="1:7" ht="15">
      <c r="A81" s="351"/>
      <c r="B81" s="352" t="s">
        <v>4</v>
      </c>
      <c r="C81" s="353">
        <v>4</v>
      </c>
      <c r="D81" s="351" t="s">
        <v>95</v>
      </c>
      <c r="E81" s="409"/>
      <c r="F81" s="355" t="s">
        <v>6</v>
      </c>
      <c r="G81" s="356">
        <f>C81*E81</f>
        <v>0</v>
      </c>
    </row>
    <row r="82" spans="1:7" ht="15">
      <c r="A82" s="351"/>
      <c r="B82" s="352"/>
      <c r="C82" s="353"/>
      <c r="D82" s="351"/>
      <c r="E82" s="409"/>
      <c r="F82" s="355"/>
      <c r="G82" s="356"/>
    </row>
    <row r="83" spans="1:7" ht="232.5" customHeight="1">
      <c r="A83" s="174" t="s">
        <v>41</v>
      </c>
      <c r="B83" s="231"/>
      <c r="C83" s="48" t="s">
        <v>317</v>
      </c>
      <c r="D83" s="232"/>
      <c r="E83" s="236"/>
      <c r="F83" s="232"/>
      <c r="G83" s="261"/>
    </row>
    <row r="84" spans="1:7" ht="15">
      <c r="A84" s="230"/>
      <c r="B84" s="231"/>
      <c r="C84" s="406"/>
      <c r="D84" s="232"/>
      <c r="E84" s="236"/>
      <c r="F84" s="232"/>
      <c r="G84" s="261"/>
    </row>
    <row r="85" spans="1:7" ht="86.25">
      <c r="A85" s="174" t="s">
        <v>60</v>
      </c>
      <c r="B85" s="239"/>
      <c r="C85" s="350" t="s">
        <v>312</v>
      </c>
      <c r="D85" s="220"/>
      <c r="E85" s="221"/>
      <c r="F85" s="220"/>
      <c r="G85" s="222"/>
    </row>
    <row r="86" spans="1:7" ht="15">
      <c r="A86" s="351"/>
      <c r="B86" s="352" t="s">
        <v>4</v>
      </c>
      <c r="C86" s="353">
        <v>1</v>
      </c>
      <c r="D86" s="351" t="s">
        <v>95</v>
      </c>
      <c r="E86" s="409"/>
      <c r="F86" s="355" t="s">
        <v>6</v>
      </c>
      <c r="G86" s="356">
        <f>C86*E86</f>
        <v>0</v>
      </c>
    </row>
    <row r="87" spans="1:7" ht="15">
      <c r="A87" s="351"/>
      <c r="B87" s="352"/>
      <c r="C87" s="353"/>
      <c r="D87" s="351"/>
      <c r="E87" s="409"/>
      <c r="F87" s="355"/>
      <c r="G87" s="356"/>
    </row>
    <row r="88" spans="1:7" ht="230.25" customHeight="1">
      <c r="A88" s="174" t="s">
        <v>42</v>
      </c>
      <c r="B88" s="231"/>
      <c r="C88" s="48" t="s">
        <v>318</v>
      </c>
      <c r="D88" s="232"/>
      <c r="E88" s="236"/>
      <c r="F88" s="232"/>
      <c r="G88" s="261"/>
    </row>
    <row r="89" spans="1:7" ht="7.5" customHeight="1">
      <c r="A89" s="351"/>
      <c r="B89" s="352"/>
      <c r="C89" s="353"/>
      <c r="D89" s="351"/>
      <c r="E89" s="409"/>
      <c r="F89" s="355"/>
      <c r="G89" s="356"/>
    </row>
    <row r="90" spans="1:7" ht="93" customHeight="1">
      <c r="A90" s="174" t="s">
        <v>61</v>
      </c>
      <c r="B90" s="239"/>
      <c r="C90" s="350" t="s">
        <v>313</v>
      </c>
      <c r="D90" s="220"/>
      <c r="E90" s="221"/>
      <c r="F90" s="220"/>
      <c r="G90" s="222"/>
    </row>
    <row r="91" spans="1:7" ht="15">
      <c r="A91" s="351"/>
      <c r="B91" s="352" t="s">
        <v>4</v>
      </c>
      <c r="C91" s="353">
        <v>5</v>
      </c>
      <c r="D91" s="351" t="s">
        <v>95</v>
      </c>
      <c r="E91" s="409"/>
      <c r="F91" s="355" t="s">
        <v>6</v>
      </c>
      <c r="G91" s="356">
        <f>C91*E91</f>
        <v>0</v>
      </c>
    </row>
    <row r="92" spans="1:7" ht="9" customHeight="1">
      <c r="A92" s="351"/>
      <c r="B92" s="352"/>
      <c r="C92" s="353"/>
      <c r="D92" s="351"/>
      <c r="E92" s="409"/>
      <c r="F92" s="355"/>
      <c r="G92" s="356"/>
    </row>
    <row r="93" spans="1:7" ht="162.75" customHeight="1">
      <c r="A93" s="410" t="s">
        <v>43</v>
      </c>
      <c r="B93" s="411"/>
      <c r="C93" s="412" t="s">
        <v>314</v>
      </c>
      <c r="D93" s="413"/>
      <c r="E93" s="414"/>
      <c r="F93" s="413"/>
      <c r="G93" s="415"/>
    </row>
    <row r="94" spans="1:7" ht="15">
      <c r="A94" s="416"/>
      <c r="B94" s="417" t="s">
        <v>20</v>
      </c>
      <c r="C94" s="418">
        <v>2</v>
      </c>
      <c r="D94" s="419" t="s">
        <v>95</v>
      </c>
      <c r="E94" s="420"/>
      <c r="F94" s="421" t="s">
        <v>6</v>
      </c>
      <c r="G94" s="356">
        <f>C94*E94</f>
        <v>0</v>
      </c>
    </row>
    <row r="95" spans="1:7" ht="15">
      <c r="A95" s="351"/>
      <c r="B95" s="352"/>
      <c r="C95" s="353"/>
      <c r="D95" s="351"/>
      <c r="E95" s="409"/>
      <c r="F95" s="355"/>
      <c r="G95" s="356"/>
    </row>
    <row r="96" spans="1:7" ht="257.25">
      <c r="A96" s="410" t="s">
        <v>44</v>
      </c>
      <c r="B96" s="411"/>
      <c r="C96" s="412" t="s">
        <v>326</v>
      </c>
      <c r="D96" s="413"/>
      <c r="E96" s="414"/>
      <c r="F96" s="413"/>
      <c r="G96" s="415"/>
    </row>
    <row r="97" spans="1:7" ht="15">
      <c r="A97" s="416"/>
      <c r="B97" s="417" t="s">
        <v>20</v>
      </c>
      <c r="C97" s="418">
        <v>2</v>
      </c>
      <c r="D97" s="419" t="s">
        <v>95</v>
      </c>
      <c r="E97" s="420"/>
      <c r="F97" s="421" t="s">
        <v>6</v>
      </c>
      <c r="G97" s="356">
        <f>C97*E97</f>
        <v>0</v>
      </c>
    </row>
    <row r="98" spans="1:7" ht="15">
      <c r="A98" s="351"/>
      <c r="B98" s="352"/>
      <c r="C98" s="353"/>
      <c r="D98" s="351"/>
      <c r="E98" s="409"/>
      <c r="F98" s="355"/>
      <c r="G98" s="356"/>
    </row>
    <row r="99" spans="1:7" ht="15">
      <c r="A99" s="351"/>
      <c r="B99" s="352"/>
      <c r="C99" s="353"/>
      <c r="D99" s="351"/>
      <c r="E99" s="409"/>
      <c r="F99" s="355"/>
      <c r="G99" s="356"/>
    </row>
    <row r="100" spans="1:7" ht="15">
      <c r="A100" s="223"/>
      <c r="B100" s="225"/>
      <c r="C100" s="407"/>
      <c r="D100" s="226"/>
      <c r="E100" s="227"/>
      <c r="F100" s="228"/>
      <c r="G100" s="264"/>
    </row>
    <row r="101" spans="1:7" s="47" customFormat="1" ht="15">
      <c r="A101" s="223"/>
      <c r="B101" s="225"/>
      <c r="C101" s="408"/>
      <c r="D101" s="226"/>
      <c r="E101" s="227"/>
      <c r="F101" s="228"/>
      <c r="G101" s="264"/>
    </row>
    <row r="102" spans="1:7" ht="15">
      <c r="A102" s="186"/>
      <c r="B102" s="50"/>
      <c r="C102" s="51"/>
      <c r="D102" s="52"/>
      <c r="E102" s="192"/>
      <c r="F102" s="52"/>
      <c r="G102" s="53"/>
    </row>
    <row r="103" spans="1:7" ht="15.75">
      <c r="A103" s="182" t="s">
        <v>27</v>
      </c>
      <c r="B103" s="328"/>
      <c r="C103" s="329" t="s">
        <v>30</v>
      </c>
      <c r="D103" s="54"/>
      <c r="E103" s="56"/>
      <c r="F103" s="55" t="s">
        <v>87</v>
      </c>
      <c r="G103" s="57">
        <f>SUM(G70:G102)</f>
        <v>0</v>
      </c>
    </row>
    <row r="104" spans="1:7" ht="15">
      <c r="A104" s="187"/>
      <c r="B104" s="58"/>
      <c r="C104" s="59"/>
      <c r="D104" s="60"/>
      <c r="E104" s="193"/>
      <c r="F104" s="60"/>
      <c r="G104" s="61"/>
    </row>
    <row r="105" spans="1:7" ht="15">
      <c r="A105" s="184"/>
      <c r="B105" s="16"/>
      <c r="C105" s="17"/>
      <c r="D105" s="4"/>
      <c r="E105" s="163"/>
      <c r="F105" s="4"/>
      <c r="G105" s="18"/>
    </row>
    <row r="106" spans="1:7" ht="15.75">
      <c r="A106" s="93" t="s">
        <v>31</v>
      </c>
      <c r="B106" s="55"/>
      <c r="C106" s="3" t="s">
        <v>79</v>
      </c>
      <c r="D106" s="54"/>
      <c r="E106" s="56"/>
      <c r="F106" s="54"/>
      <c r="G106" s="57"/>
    </row>
    <row r="107" spans="1:7" s="12" customFormat="1" ht="15">
      <c r="A107" s="174"/>
      <c r="B107" s="8"/>
      <c r="C107" s="82"/>
      <c r="D107" s="10"/>
      <c r="E107" s="180"/>
      <c r="F107" s="10"/>
      <c r="G107" s="6"/>
    </row>
    <row r="108" spans="1:7" s="12" customFormat="1" ht="300">
      <c r="A108" s="174"/>
      <c r="B108" s="8"/>
      <c r="C108" s="19" t="s">
        <v>34</v>
      </c>
      <c r="D108" s="10"/>
      <c r="E108" s="180"/>
      <c r="F108" s="10"/>
      <c r="G108" s="6"/>
    </row>
    <row r="109" spans="1:7" ht="177.75" customHeight="1">
      <c r="A109" s="184" t="s">
        <v>3</v>
      </c>
      <c r="B109" s="4"/>
      <c r="C109" s="21" t="s">
        <v>279</v>
      </c>
      <c r="D109" s="4"/>
      <c r="E109" s="163"/>
      <c r="F109" s="4"/>
      <c r="G109" s="18"/>
    </row>
    <row r="110" spans="1:7" ht="99.75">
      <c r="A110" s="184"/>
      <c r="B110" s="4"/>
      <c r="C110" s="21" t="s">
        <v>62</v>
      </c>
      <c r="D110" s="4"/>
      <c r="E110" s="163"/>
      <c r="F110" s="4"/>
      <c r="G110" s="18"/>
    </row>
    <row r="111" spans="1:7" ht="186">
      <c r="A111" s="184"/>
      <c r="B111" s="4"/>
      <c r="C111" s="21" t="s">
        <v>297</v>
      </c>
      <c r="D111" s="4"/>
      <c r="E111" s="163"/>
      <c r="F111" s="4"/>
      <c r="G111" s="18"/>
    </row>
    <row r="112" spans="1:7" ht="29.25">
      <c r="A112" s="184" t="s">
        <v>15</v>
      </c>
      <c r="B112" s="4"/>
      <c r="C112" s="83" t="s">
        <v>299</v>
      </c>
      <c r="D112" s="4"/>
      <c r="E112" s="163"/>
      <c r="F112" s="4"/>
      <c r="G112" s="18"/>
    </row>
    <row r="113" spans="1:7" ht="72.75">
      <c r="A113" s="184"/>
      <c r="B113" s="13"/>
      <c r="C113" s="84" t="s">
        <v>33</v>
      </c>
      <c r="D113" s="7"/>
      <c r="E113" s="162"/>
      <c r="F113" s="14"/>
      <c r="G113" s="15"/>
    </row>
    <row r="114" spans="1:7" ht="15">
      <c r="A114" s="185"/>
      <c r="B114" s="23" t="s">
        <v>172</v>
      </c>
      <c r="C114" s="168" t="s">
        <v>298</v>
      </c>
      <c r="D114" s="24"/>
      <c r="E114" s="161"/>
      <c r="F114" s="24"/>
      <c r="G114" s="25"/>
    </row>
    <row r="115" spans="1:7" ht="15">
      <c r="A115" s="185"/>
      <c r="B115" s="23"/>
      <c r="C115" s="26" t="str">
        <f>"UKUPNO: "&amp;C116&amp;" m'"</f>
        <v>UKUPNO: 186 m'</v>
      </c>
      <c r="D115" s="24"/>
      <c r="E115" s="161"/>
      <c r="F115" s="24"/>
      <c r="G115" s="25"/>
    </row>
    <row r="116" spans="1:7" ht="15">
      <c r="A116" s="184"/>
      <c r="B116" s="13" t="s">
        <v>8</v>
      </c>
      <c r="C116" s="167">
        <v>186</v>
      </c>
      <c r="D116" s="7" t="s">
        <v>95</v>
      </c>
      <c r="E116" s="162"/>
      <c r="F116" s="14" t="s">
        <v>6</v>
      </c>
      <c r="G116" s="66">
        <f>C116*E116</f>
        <v>0</v>
      </c>
    </row>
    <row r="117" spans="1:7" ht="15">
      <c r="A117" s="245"/>
      <c r="B117" s="239"/>
      <c r="C117" s="279"/>
      <c r="D117" s="241"/>
      <c r="E117" s="295"/>
      <c r="F117" s="241"/>
      <c r="G117" s="272"/>
    </row>
    <row r="118" spans="1:7" ht="29.25">
      <c r="A118" s="184" t="s">
        <v>160</v>
      </c>
      <c r="B118" s="4"/>
      <c r="C118" s="83" t="s">
        <v>300</v>
      </c>
      <c r="D118" s="4"/>
      <c r="E118" s="163"/>
      <c r="F118" s="4"/>
      <c r="G118" s="18"/>
    </row>
    <row r="119" spans="1:7" ht="72.75">
      <c r="A119" s="184"/>
      <c r="B119" s="13"/>
      <c r="C119" s="84" t="s">
        <v>33</v>
      </c>
      <c r="D119" s="7"/>
      <c r="E119" s="162"/>
      <c r="F119" s="14"/>
      <c r="G119" s="15"/>
    </row>
    <row r="120" spans="1:7" ht="15">
      <c r="A120" s="185"/>
      <c r="B120" s="23" t="s">
        <v>172</v>
      </c>
      <c r="C120" s="168">
        <v>2</v>
      </c>
      <c r="D120" s="24"/>
      <c r="E120" s="161"/>
      <c r="F120" s="24"/>
      <c r="G120" s="25"/>
    </row>
    <row r="121" spans="1:7" ht="15">
      <c r="A121" s="185"/>
      <c r="B121" s="23"/>
      <c r="C121" s="26" t="str">
        <f>"UKUPNO: "&amp;C122&amp;" m'"</f>
        <v>UKUPNO: 2 m'</v>
      </c>
      <c r="D121" s="24"/>
      <c r="E121" s="161"/>
      <c r="F121" s="24"/>
      <c r="G121" s="25"/>
    </row>
    <row r="122" spans="1:7" ht="15">
      <c r="A122" s="184"/>
      <c r="B122" s="13" t="s">
        <v>8</v>
      </c>
      <c r="C122" s="167">
        <v>2</v>
      </c>
      <c r="D122" s="7" t="s">
        <v>95</v>
      </c>
      <c r="E122" s="162"/>
      <c r="F122" s="14" t="s">
        <v>6</v>
      </c>
      <c r="G122" s="66">
        <f>C122*E122</f>
        <v>0</v>
      </c>
    </row>
    <row r="123" spans="1:7" ht="12" customHeight="1">
      <c r="A123" s="245"/>
      <c r="B123" s="239"/>
      <c r="C123" s="279"/>
      <c r="D123" s="241"/>
      <c r="E123" s="295"/>
      <c r="F123" s="241"/>
      <c r="G123" s="272"/>
    </row>
    <row r="124" spans="1:7" ht="168.75" customHeight="1">
      <c r="A124" s="185" t="s">
        <v>7</v>
      </c>
      <c r="B124" s="23"/>
      <c r="C124" s="29" t="s">
        <v>315</v>
      </c>
      <c r="D124" s="24"/>
      <c r="E124" s="161"/>
      <c r="F124" s="24"/>
      <c r="G124" s="25"/>
    </row>
    <row r="125" spans="1:7" ht="31.5">
      <c r="A125" s="185" t="s">
        <v>29</v>
      </c>
      <c r="B125" s="23"/>
      <c r="C125" s="29" t="s">
        <v>302</v>
      </c>
      <c r="D125" s="24"/>
      <c r="E125" s="161"/>
      <c r="F125" s="24"/>
      <c r="G125" s="25"/>
    </row>
    <row r="126" spans="1:7" ht="72.75">
      <c r="A126" s="184"/>
      <c r="B126" s="13"/>
      <c r="C126" s="84" t="s">
        <v>33</v>
      </c>
      <c r="D126" s="7"/>
      <c r="E126" s="162"/>
      <c r="F126" s="14"/>
      <c r="G126" s="15"/>
    </row>
    <row r="127" spans="1:7" ht="15">
      <c r="A127" s="185"/>
      <c r="B127" s="23" t="s">
        <v>172</v>
      </c>
      <c r="C127" s="92">
        <v>2</v>
      </c>
      <c r="D127" s="24"/>
      <c r="E127" s="161"/>
      <c r="F127" s="24"/>
      <c r="G127" s="25"/>
    </row>
    <row r="128" spans="1:7" s="44" customFormat="1" ht="15">
      <c r="A128" s="185"/>
      <c r="B128" s="23"/>
      <c r="C128" s="318" t="str">
        <f>"UKUPNO: "&amp;C129&amp;" kom."</f>
        <v>UKUPNO: 2 kom.</v>
      </c>
      <c r="D128" s="24"/>
      <c r="E128" s="161"/>
      <c r="F128" s="24"/>
      <c r="G128" s="25"/>
    </row>
    <row r="129" spans="1:7" s="47" customFormat="1" ht="15">
      <c r="A129" s="185"/>
      <c r="B129" s="13" t="s">
        <v>4</v>
      </c>
      <c r="C129" s="22">
        <f>SUM(C127:C127)</f>
        <v>2</v>
      </c>
      <c r="D129" s="22" t="s">
        <v>95</v>
      </c>
      <c r="E129" s="162"/>
      <c r="F129" s="46" t="s">
        <v>6</v>
      </c>
      <c r="G129" s="15">
        <f>C129*E129</f>
        <v>0</v>
      </c>
    </row>
    <row r="130" spans="1:7" s="47" customFormat="1" ht="12" customHeight="1">
      <c r="A130" s="185"/>
      <c r="B130" s="13"/>
      <c r="C130" s="22"/>
      <c r="D130" s="22"/>
      <c r="E130" s="162"/>
      <c r="F130" s="46"/>
      <c r="G130" s="15"/>
    </row>
    <row r="131" spans="1:7" s="47" customFormat="1" ht="99.75" customHeight="1">
      <c r="A131" s="185" t="s">
        <v>41</v>
      </c>
      <c r="B131" s="13"/>
      <c r="C131" s="29" t="s">
        <v>329</v>
      </c>
      <c r="D131" s="22"/>
      <c r="E131" s="162"/>
      <c r="F131" s="46"/>
      <c r="G131" s="15"/>
    </row>
    <row r="132" spans="1:7" s="47" customFormat="1" ht="17.25" customHeight="1">
      <c r="A132" s="185" t="s">
        <v>60</v>
      </c>
      <c r="B132" s="13"/>
      <c r="C132" s="49" t="s">
        <v>328</v>
      </c>
      <c r="D132" s="22"/>
      <c r="E132" s="162"/>
      <c r="F132" s="46"/>
      <c r="G132" s="15"/>
    </row>
    <row r="133" spans="1:7" s="47" customFormat="1" ht="72.75">
      <c r="A133" s="184"/>
      <c r="B133" s="13"/>
      <c r="C133" s="84" t="s">
        <v>33</v>
      </c>
      <c r="D133" s="7"/>
      <c r="E133" s="162"/>
      <c r="F133" s="14"/>
      <c r="G133" s="15"/>
    </row>
    <row r="134" spans="1:7" s="47" customFormat="1" ht="15">
      <c r="A134" s="185"/>
      <c r="B134" s="23" t="s">
        <v>319</v>
      </c>
      <c r="C134" s="92">
        <v>8</v>
      </c>
      <c r="D134" s="24"/>
      <c r="E134" s="161"/>
      <c r="F134" s="24"/>
      <c r="G134" s="25"/>
    </row>
    <row r="135" spans="1:7" s="47" customFormat="1" ht="15">
      <c r="A135" s="185"/>
      <c r="B135" s="23" t="s">
        <v>320</v>
      </c>
      <c r="C135" s="92">
        <v>4</v>
      </c>
      <c r="D135" s="24"/>
      <c r="E135" s="161"/>
      <c r="F135" s="24"/>
      <c r="G135" s="25"/>
    </row>
    <row r="136" spans="1:7" s="47" customFormat="1" ht="15">
      <c r="A136" s="185"/>
      <c r="B136" s="23" t="s">
        <v>321</v>
      </c>
      <c r="C136" s="92">
        <v>5</v>
      </c>
      <c r="D136" s="24"/>
      <c r="E136" s="161"/>
      <c r="F136" s="24"/>
      <c r="G136" s="25"/>
    </row>
    <row r="137" spans="1:7" s="47" customFormat="1" ht="15">
      <c r="A137" s="185"/>
      <c r="B137" s="23" t="s">
        <v>322</v>
      </c>
      <c r="C137" s="92">
        <v>6</v>
      </c>
      <c r="D137" s="24"/>
      <c r="E137" s="161"/>
      <c r="F137" s="24"/>
      <c r="G137" s="25"/>
    </row>
    <row r="138" spans="1:7" s="47" customFormat="1" ht="15">
      <c r="A138" s="185"/>
      <c r="B138" s="23" t="s">
        <v>323</v>
      </c>
      <c r="C138" s="92">
        <v>6</v>
      </c>
      <c r="D138" s="24"/>
      <c r="E138" s="161"/>
      <c r="F138" s="24"/>
      <c r="G138" s="25"/>
    </row>
    <row r="139" spans="1:7" s="47" customFormat="1" ht="15">
      <c r="A139" s="185"/>
      <c r="B139" s="23"/>
      <c r="C139" s="318" t="str">
        <f>"UKUPNO: "&amp;SUM(C134:C138)&amp;" kom."</f>
        <v>UKUPNO: 29 kom.</v>
      </c>
      <c r="D139" s="24"/>
      <c r="E139" s="161"/>
      <c r="F139" s="24"/>
      <c r="G139" s="25"/>
    </row>
    <row r="140" spans="1:7" s="47" customFormat="1" ht="15">
      <c r="A140" s="185"/>
      <c r="B140" s="13" t="s">
        <v>4</v>
      </c>
      <c r="C140" s="22">
        <v>28</v>
      </c>
      <c r="D140" s="22" t="s">
        <v>95</v>
      </c>
      <c r="E140" s="162"/>
      <c r="F140" s="46" t="s">
        <v>6</v>
      </c>
      <c r="G140" s="15">
        <f>C140*E140</f>
        <v>0</v>
      </c>
    </row>
    <row r="141" spans="1:7" s="47" customFormat="1" ht="15">
      <c r="A141" s="185"/>
      <c r="B141" s="13"/>
      <c r="C141" s="22"/>
      <c r="D141" s="22"/>
      <c r="E141" s="162"/>
      <c r="F141" s="46"/>
      <c r="G141" s="15"/>
    </row>
    <row r="142" spans="1:7" s="47" customFormat="1" ht="113.25" customHeight="1">
      <c r="A142" s="185" t="s">
        <v>42</v>
      </c>
      <c r="B142" s="13"/>
      <c r="C142" s="29" t="s">
        <v>324</v>
      </c>
      <c r="D142" s="22"/>
      <c r="E142" s="162"/>
      <c r="F142" s="46"/>
      <c r="G142" s="15"/>
    </row>
    <row r="143" spans="1:7" s="47" customFormat="1" ht="18.75" customHeight="1">
      <c r="A143" s="185" t="s">
        <v>61</v>
      </c>
      <c r="B143" s="13"/>
      <c r="C143" s="49" t="s">
        <v>330</v>
      </c>
      <c r="D143" s="22"/>
      <c r="E143" s="162"/>
      <c r="F143" s="46"/>
      <c r="G143" s="15"/>
    </row>
    <row r="144" spans="1:7" s="47" customFormat="1" ht="72.75">
      <c r="A144" s="184"/>
      <c r="B144" s="13"/>
      <c r="C144" s="84" t="s">
        <v>33</v>
      </c>
      <c r="D144" s="7"/>
      <c r="E144" s="162"/>
      <c r="F144" s="14"/>
      <c r="G144" s="15"/>
    </row>
    <row r="145" spans="1:7" s="47" customFormat="1" ht="15">
      <c r="A145" s="185"/>
      <c r="B145" s="23" t="s">
        <v>319</v>
      </c>
      <c r="C145" s="92">
        <v>1</v>
      </c>
      <c r="D145" s="24"/>
      <c r="E145" s="161"/>
      <c r="F145" s="24"/>
      <c r="G145" s="25"/>
    </row>
    <row r="146" spans="1:7" s="47" customFormat="1" ht="15">
      <c r="A146" s="185"/>
      <c r="B146" s="23" t="s">
        <v>320</v>
      </c>
      <c r="C146" s="92">
        <v>1</v>
      </c>
      <c r="D146" s="24"/>
      <c r="E146" s="161"/>
      <c r="F146" s="24"/>
      <c r="G146" s="25"/>
    </row>
    <row r="147" spans="1:7" s="47" customFormat="1" ht="15">
      <c r="A147" s="185"/>
      <c r="B147" s="23" t="s">
        <v>321</v>
      </c>
      <c r="C147" s="92">
        <v>1</v>
      </c>
      <c r="D147" s="24"/>
      <c r="E147" s="161"/>
      <c r="F147" s="24"/>
      <c r="G147" s="25"/>
    </row>
    <row r="148" spans="1:7" s="47" customFormat="1" ht="15">
      <c r="A148" s="185"/>
      <c r="B148" s="23" t="s">
        <v>322</v>
      </c>
      <c r="C148" s="92">
        <v>1</v>
      </c>
      <c r="D148" s="24"/>
      <c r="E148" s="161"/>
      <c r="F148" s="24"/>
      <c r="G148" s="25"/>
    </row>
    <row r="149" spans="1:7" s="47" customFormat="1" ht="15">
      <c r="A149" s="185"/>
      <c r="B149" s="23"/>
      <c r="C149" s="318" t="str">
        <f>"UKUPNO: "&amp;SUM(C145:C148)&amp;" kom."</f>
        <v>UKUPNO: 4 kom.</v>
      </c>
      <c r="D149" s="24"/>
      <c r="E149" s="161"/>
      <c r="F149" s="24"/>
      <c r="G149" s="25"/>
    </row>
    <row r="150" spans="1:7" s="47" customFormat="1" ht="15">
      <c r="A150" s="185"/>
      <c r="B150" s="13" t="s">
        <v>4</v>
      </c>
      <c r="C150" s="22">
        <v>4</v>
      </c>
      <c r="D150" s="22" t="s">
        <v>95</v>
      </c>
      <c r="E150" s="162"/>
      <c r="F150" s="46" t="s">
        <v>6</v>
      </c>
      <c r="G150" s="15">
        <f>C150*E150</f>
        <v>0</v>
      </c>
    </row>
    <row r="151" spans="1:7" s="47" customFormat="1" ht="9.75" customHeight="1">
      <c r="A151" s="185"/>
      <c r="B151" s="13"/>
      <c r="C151" s="22"/>
      <c r="D151" s="22"/>
      <c r="E151" s="162"/>
      <c r="F151" s="46"/>
      <c r="G151" s="15"/>
    </row>
    <row r="152" spans="1:7" s="47" customFormat="1" ht="117.75" customHeight="1">
      <c r="A152" s="185" t="s">
        <v>43</v>
      </c>
      <c r="B152" s="13"/>
      <c r="C152" s="29" t="s">
        <v>327</v>
      </c>
      <c r="D152" s="22"/>
      <c r="E152" s="162"/>
      <c r="F152" s="46"/>
      <c r="G152" s="15"/>
    </row>
    <row r="153" spans="1:7" s="47" customFormat="1" ht="20.25" customHeight="1">
      <c r="A153" s="185" t="s">
        <v>56</v>
      </c>
      <c r="B153" s="13"/>
      <c r="C153" s="49" t="s">
        <v>331</v>
      </c>
      <c r="D153" s="22"/>
      <c r="E153" s="162"/>
      <c r="F153" s="46"/>
      <c r="G153" s="15"/>
    </row>
    <row r="154" spans="1:7" s="47" customFormat="1" ht="72.75">
      <c r="A154" s="184"/>
      <c r="B154" s="13"/>
      <c r="C154" s="84" t="s">
        <v>33</v>
      </c>
      <c r="D154" s="7"/>
      <c r="E154" s="162"/>
      <c r="F154" s="14"/>
      <c r="G154" s="15"/>
    </row>
    <row r="155" spans="1:7" s="47" customFormat="1" ht="15">
      <c r="A155" s="185"/>
      <c r="B155" s="23" t="s">
        <v>306</v>
      </c>
      <c r="C155" s="92">
        <v>2</v>
      </c>
      <c r="D155" s="24"/>
      <c r="E155" s="161"/>
      <c r="F155" s="24"/>
      <c r="G155" s="25"/>
    </row>
    <row r="156" spans="1:7" s="47" customFormat="1" ht="15">
      <c r="A156" s="185"/>
      <c r="B156" s="23"/>
      <c r="C156" s="318" t="str">
        <f>"UKUPNO: "&amp;SUM(C155:C155)&amp;" kom."</f>
        <v>UKUPNO: 2 kom.</v>
      </c>
      <c r="D156" s="24"/>
      <c r="E156" s="161"/>
      <c r="F156" s="24"/>
      <c r="G156" s="25"/>
    </row>
    <row r="157" spans="1:7" s="47" customFormat="1" ht="15">
      <c r="A157" s="185"/>
      <c r="B157" s="13" t="s">
        <v>4</v>
      </c>
      <c r="C157" s="22">
        <v>2</v>
      </c>
      <c r="D157" s="22" t="s">
        <v>95</v>
      </c>
      <c r="E157" s="162"/>
      <c r="F157" s="46" t="s">
        <v>6</v>
      </c>
      <c r="G157" s="15">
        <f>C157*E157</f>
        <v>0</v>
      </c>
    </row>
    <row r="158" spans="1:7" s="12" customFormat="1" ht="10.5" customHeight="1">
      <c r="A158" s="296"/>
      <c r="B158" s="297"/>
      <c r="C158" s="298"/>
      <c r="D158" s="299"/>
      <c r="E158" s="300"/>
      <c r="F158" s="299"/>
      <c r="G158" s="301"/>
    </row>
    <row r="159" spans="1:7" ht="97.5" customHeight="1">
      <c r="A159" s="185" t="s">
        <v>44</v>
      </c>
      <c r="B159" s="23"/>
      <c r="C159" s="29" t="s">
        <v>283</v>
      </c>
      <c r="D159" s="24"/>
      <c r="E159" s="161"/>
      <c r="F159" s="24"/>
      <c r="G159" s="25"/>
    </row>
    <row r="160" spans="1:7" ht="15">
      <c r="A160" s="184" t="s">
        <v>57</v>
      </c>
      <c r="B160" s="4"/>
      <c r="C160" s="83" t="s">
        <v>301</v>
      </c>
      <c r="D160" s="4"/>
      <c r="E160" s="163"/>
      <c r="F160" s="4"/>
      <c r="G160" s="18"/>
    </row>
    <row r="161" spans="1:7" ht="72.75">
      <c r="A161" s="184"/>
      <c r="B161" s="13"/>
      <c r="C161" s="84" t="s">
        <v>33</v>
      </c>
      <c r="D161" s="7"/>
      <c r="E161" s="162"/>
      <c r="F161" s="14"/>
      <c r="G161" s="15"/>
    </row>
    <row r="162" spans="1:7" ht="15">
      <c r="A162" s="185"/>
      <c r="B162" s="23" t="s">
        <v>172</v>
      </c>
      <c r="C162" s="92">
        <v>4</v>
      </c>
      <c r="D162" s="24"/>
      <c r="E162" s="161"/>
      <c r="F162" s="24"/>
      <c r="G162" s="25"/>
    </row>
    <row r="163" spans="1:7" s="44" customFormat="1" ht="15">
      <c r="A163" s="185"/>
      <c r="B163" s="23"/>
      <c r="C163" s="318" t="str">
        <f>"UKUPNO: "&amp;C164&amp;" kom."</f>
        <v>UKUPNO: 4 kom.</v>
      </c>
      <c r="D163" s="24"/>
      <c r="E163" s="161"/>
      <c r="F163" s="24"/>
      <c r="G163" s="25"/>
    </row>
    <row r="164" spans="1:7" s="47" customFormat="1" ht="15">
      <c r="A164" s="185"/>
      <c r="B164" s="13" t="s">
        <v>4</v>
      </c>
      <c r="C164" s="22">
        <f>SUM(C162:C162)</f>
        <v>4</v>
      </c>
      <c r="D164" s="22" t="s">
        <v>95</v>
      </c>
      <c r="E164" s="162"/>
      <c r="F164" s="46" t="s">
        <v>6</v>
      </c>
      <c r="G164" s="15">
        <f>C164*E164</f>
        <v>0</v>
      </c>
    </row>
    <row r="165" spans="1:7" s="47" customFormat="1" ht="15">
      <c r="A165" s="185"/>
      <c r="B165" s="13"/>
      <c r="C165" s="22"/>
      <c r="D165" s="22"/>
      <c r="E165" s="162"/>
      <c r="F165" s="46"/>
      <c r="G165" s="15"/>
    </row>
    <row r="166" spans="1:7" s="47" customFormat="1" ht="15">
      <c r="A166" s="184" t="s">
        <v>58</v>
      </c>
      <c r="B166" s="4"/>
      <c r="C166" s="83" t="s">
        <v>303</v>
      </c>
      <c r="D166" s="4"/>
      <c r="E166" s="163"/>
      <c r="F166" s="4"/>
      <c r="G166" s="18"/>
    </row>
    <row r="167" spans="1:7" s="47" customFormat="1" ht="72.75">
      <c r="A167" s="184"/>
      <c r="B167" s="13"/>
      <c r="C167" s="84" t="s">
        <v>33</v>
      </c>
      <c r="D167" s="7"/>
      <c r="E167" s="162"/>
      <c r="F167" s="14"/>
      <c r="G167" s="15"/>
    </row>
    <row r="168" spans="1:7" s="47" customFormat="1" ht="15">
      <c r="A168" s="185"/>
      <c r="B168" s="23" t="s">
        <v>84</v>
      </c>
      <c r="C168" s="92">
        <v>12</v>
      </c>
      <c r="D168" s="24"/>
      <c r="E168" s="161"/>
      <c r="F168" s="24"/>
      <c r="G168" s="25"/>
    </row>
    <row r="169" spans="1:7" s="47" customFormat="1" ht="15">
      <c r="A169" s="185"/>
      <c r="B169" s="23"/>
      <c r="C169" s="318" t="str">
        <f>"UKUPNO: "&amp;C170&amp;" kom."</f>
        <v>UKUPNO: 12 kom.</v>
      </c>
      <c r="D169" s="24"/>
      <c r="E169" s="161"/>
      <c r="F169" s="24"/>
      <c r="G169" s="25"/>
    </row>
    <row r="170" spans="1:7" s="47" customFormat="1" ht="15">
      <c r="A170" s="185"/>
      <c r="B170" s="13" t="s">
        <v>4</v>
      </c>
      <c r="C170" s="22">
        <f>SUM(C168:C168)</f>
        <v>12</v>
      </c>
      <c r="D170" s="22" t="s">
        <v>95</v>
      </c>
      <c r="E170" s="162"/>
      <c r="F170" s="46" t="s">
        <v>6</v>
      </c>
      <c r="G170" s="15">
        <f>C170*E170</f>
        <v>0</v>
      </c>
    </row>
    <row r="171" spans="1:7" ht="15">
      <c r="A171" s="223"/>
      <c r="B171" s="225"/>
      <c r="C171" s="288"/>
      <c r="D171" s="226"/>
      <c r="E171" s="227"/>
      <c r="F171" s="228"/>
      <c r="G171" s="264"/>
    </row>
    <row r="172" spans="1:7" ht="15">
      <c r="A172" s="184" t="s">
        <v>325</v>
      </c>
      <c r="B172" s="4"/>
      <c r="C172" s="83" t="s">
        <v>304</v>
      </c>
      <c r="D172" s="4"/>
      <c r="E172" s="163"/>
      <c r="F172" s="4"/>
      <c r="G172" s="18"/>
    </row>
    <row r="173" spans="1:7" ht="72.75">
      <c r="A173" s="184"/>
      <c r="B173" s="13"/>
      <c r="C173" s="84" t="s">
        <v>33</v>
      </c>
      <c r="D173" s="7"/>
      <c r="E173" s="162"/>
      <c r="F173" s="14"/>
      <c r="G173" s="15"/>
    </row>
    <row r="174" spans="1:7" ht="15">
      <c r="A174" s="185"/>
      <c r="B174" s="23" t="s">
        <v>172</v>
      </c>
      <c r="C174" s="92">
        <v>12</v>
      </c>
      <c r="D174" s="24"/>
      <c r="E174" s="161"/>
      <c r="F174" s="24"/>
      <c r="G174" s="25"/>
    </row>
    <row r="175" spans="1:7" s="44" customFormat="1" ht="15">
      <c r="A175" s="185"/>
      <c r="B175" s="23"/>
      <c r="C175" s="318" t="str">
        <f>"UKUPNO: "&amp;C176&amp;" kom."</f>
        <v>UKUPNO: 12 kom.</v>
      </c>
      <c r="D175" s="24"/>
      <c r="E175" s="161"/>
      <c r="F175" s="24"/>
      <c r="G175" s="25"/>
    </row>
    <row r="176" spans="1:7" s="47" customFormat="1" ht="15">
      <c r="A176" s="185"/>
      <c r="B176" s="13" t="s">
        <v>4</v>
      </c>
      <c r="C176" s="22">
        <f>SUM(C174:C174)</f>
        <v>12</v>
      </c>
      <c r="D176" s="22" t="s">
        <v>95</v>
      </c>
      <c r="E176" s="162"/>
      <c r="F176" s="46" t="s">
        <v>6</v>
      </c>
      <c r="G176" s="15">
        <f>C176*E176</f>
        <v>0</v>
      </c>
    </row>
    <row r="177" spans="1:7" s="47" customFormat="1" ht="15">
      <c r="A177" s="185"/>
      <c r="B177" s="13"/>
      <c r="C177" s="22"/>
      <c r="D177" s="22"/>
      <c r="E177" s="162"/>
      <c r="F177" s="46"/>
      <c r="G177" s="15"/>
    </row>
    <row r="178" spans="1:7" s="47" customFormat="1" ht="159">
      <c r="A178" s="185" t="s">
        <v>47</v>
      </c>
      <c r="B178" s="13"/>
      <c r="C178" s="29" t="s">
        <v>333</v>
      </c>
      <c r="D178" s="7"/>
      <c r="E178" s="162"/>
      <c r="F178" s="14"/>
      <c r="G178" s="15"/>
    </row>
    <row r="179" spans="1:7" s="47" customFormat="1" ht="18.75" customHeight="1">
      <c r="A179" s="185" t="s">
        <v>53</v>
      </c>
      <c r="B179" s="13"/>
      <c r="C179" s="49" t="s">
        <v>332</v>
      </c>
      <c r="D179" s="7"/>
      <c r="E179" s="162"/>
      <c r="F179" s="14"/>
      <c r="G179" s="15"/>
    </row>
    <row r="180" spans="1:7" s="47" customFormat="1" ht="15">
      <c r="A180" s="185"/>
      <c r="B180" s="23"/>
      <c r="C180" s="92">
        <v>4</v>
      </c>
      <c r="D180" s="24"/>
      <c r="E180" s="161"/>
      <c r="F180" s="24"/>
      <c r="G180" s="25"/>
    </row>
    <row r="181" spans="1:7" s="47" customFormat="1" ht="15">
      <c r="A181" s="185"/>
      <c r="B181" s="23"/>
      <c r="C181" s="318" t="str">
        <f>"UKUPNO: "&amp;SUM(C180:C180)&amp;" kom."</f>
        <v>UKUPNO: 4 kom.</v>
      </c>
      <c r="D181" s="24"/>
      <c r="E181" s="161"/>
      <c r="F181" s="24"/>
      <c r="G181" s="25"/>
    </row>
    <row r="182" spans="1:7" s="47" customFormat="1" ht="15">
      <c r="A182" s="185"/>
      <c r="B182" s="13" t="s">
        <v>4</v>
      </c>
      <c r="C182" s="22">
        <v>4</v>
      </c>
      <c r="D182" s="22" t="s">
        <v>95</v>
      </c>
      <c r="E182" s="162"/>
      <c r="F182" s="46" t="s">
        <v>6</v>
      </c>
      <c r="G182" s="15">
        <f>C182*E182</f>
        <v>0</v>
      </c>
    </row>
    <row r="183" spans="1:7" s="47" customFormat="1" ht="15">
      <c r="A183" s="185"/>
      <c r="B183" s="13"/>
      <c r="C183" s="22"/>
      <c r="D183" s="22"/>
      <c r="E183" s="162"/>
      <c r="F183" s="46"/>
      <c r="G183" s="15"/>
    </row>
    <row r="184" spans="1:7" s="47" customFormat="1" ht="144.75">
      <c r="A184" s="185" t="s">
        <v>48</v>
      </c>
      <c r="B184" s="13"/>
      <c r="C184" s="29" t="s">
        <v>334</v>
      </c>
      <c r="D184" s="7"/>
      <c r="E184" s="162"/>
      <c r="F184" s="14"/>
      <c r="G184" s="15"/>
    </row>
    <row r="185" spans="1:7" s="47" customFormat="1" ht="15">
      <c r="A185" s="185" t="s">
        <v>54</v>
      </c>
      <c r="B185" s="13"/>
      <c r="C185" s="49" t="s">
        <v>332</v>
      </c>
      <c r="D185" s="7"/>
      <c r="E185" s="162"/>
      <c r="F185" s="14"/>
      <c r="G185" s="15"/>
    </row>
    <row r="186" spans="1:7" s="47" customFormat="1" ht="15">
      <c r="A186" s="185"/>
      <c r="B186" s="23"/>
      <c r="C186" s="92">
        <v>4</v>
      </c>
      <c r="D186" s="24"/>
      <c r="E186" s="161"/>
      <c r="F186" s="24"/>
      <c r="G186" s="25"/>
    </row>
    <row r="187" spans="1:7" s="47" customFormat="1" ht="15">
      <c r="A187" s="185"/>
      <c r="B187" s="23"/>
      <c r="C187" s="318" t="str">
        <f>"UKUPNO: "&amp;SUM(C186:C186)&amp;" kom."</f>
        <v>UKUPNO: 4 kom.</v>
      </c>
      <c r="D187" s="24"/>
      <c r="E187" s="161"/>
      <c r="F187" s="24"/>
      <c r="G187" s="25"/>
    </row>
    <row r="188" spans="1:7" s="47" customFormat="1" ht="15">
      <c r="A188" s="185"/>
      <c r="B188" s="13" t="s">
        <v>4</v>
      </c>
      <c r="C188" s="22">
        <v>4</v>
      </c>
      <c r="D188" s="22" t="s">
        <v>95</v>
      </c>
      <c r="E188" s="162"/>
      <c r="F188" s="46" t="s">
        <v>6</v>
      </c>
      <c r="G188" s="15">
        <f>C188*E188</f>
        <v>0</v>
      </c>
    </row>
    <row r="189" spans="1:7" ht="15">
      <c r="A189" s="223"/>
      <c r="B189" s="225"/>
      <c r="C189" s="288"/>
      <c r="D189" s="226"/>
      <c r="E189" s="227"/>
      <c r="F189" s="228"/>
      <c r="G189" s="264"/>
    </row>
    <row r="190" spans="1:7" ht="15">
      <c r="A190" s="223"/>
      <c r="B190" s="234"/>
      <c r="C190" s="220"/>
      <c r="D190" s="257"/>
      <c r="E190" s="258"/>
      <c r="F190" s="257"/>
      <c r="G190" s="280"/>
    </row>
    <row r="191" spans="1:7" ht="15">
      <c r="A191" s="186"/>
      <c r="B191" s="50"/>
      <c r="C191" s="51"/>
      <c r="D191" s="52"/>
      <c r="E191" s="192"/>
      <c r="F191" s="52"/>
      <c r="G191" s="53"/>
    </row>
    <row r="192" spans="1:7" ht="15.75">
      <c r="A192" s="93" t="s">
        <v>31</v>
      </c>
      <c r="B192" s="55"/>
      <c r="C192" s="3" t="s">
        <v>80</v>
      </c>
      <c r="D192" s="54"/>
      <c r="E192" s="56"/>
      <c r="F192" s="55" t="s">
        <v>87</v>
      </c>
      <c r="G192" s="57">
        <f>SUM(G105:G190)</f>
        <v>0</v>
      </c>
    </row>
    <row r="193" spans="1:7" ht="15">
      <c r="A193" s="187"/>
      <c r="B193" s="58"/>
      <c r="C193" s="59"/>
      <c r="D193" s="60"/>
      <c r="E193" s="193"/>
      <c r="F193" s="60"/>
      <c r="G193" s="61"/>
    </row>
    <row r="194" spans="1:7" ht="15">
      <c r="A194" s="223"/>
      <c r="B194" s="234"/>
      <c r="C194" s="235"/>
      <c r="D194" s="220"/>
      <c r="E194" s="221"/>
      <c r="F194" s="220"/>
      <c r="G194" s="222"/>
    </row>
    <row r="195" spans="1:7" ht="15.75">
      <c r="A195" s="93" t="s">
        <v>32</v>
      </c>
      <c r="B195" s="55"/>
      <c r="C195" s="3" t="s">
        <v>36</v>
      </c>
      <c r="D195" s="54"/>
      <c r="E195" s="56"/>
      <c r="F195" s="54"/>
      <c r="G195" s="57"/>
    </row>
    <row r="196" spans="1:7" s="12" customFormat="1" ht="15">
      <c r="A196" s="184"/>
      <c r="B196" s="16"/>
      <c r="C196" s="17"/>
      <c r="D196" s="4"/>
      <c r="E196" s="163"/>
      <c r="F196" s="4"/>
      <c r="G196" s="18"/>
    </row>
    <row r="197" spans="1:7" ht="72">
      <c r="A197" s="184" t="s">
        <v>3</v>
      </c>
      <c r="B197" s="4"/>
      <c r="C197" s="21" t="s">
        <v>274</v>
      </c>
      <c r="D197" s="4"/>
      <c r="E197" s="163"/>
      <c r="F197" s="4"/>
      <c r="G197" s="18"/>
    </row>
    <row r="198" spans="1:7" ht="15">
      <c r="A198" s="185"/>
      <c r="B198" s="23" t="s">
        <v>172</v>
      </c>
      <c r="C198" s="149">
        <f>C7</f>
        <v>186</v>
      </c>
      <c r="D198" s="24"/>
      <c r="E198" s="161"/>
      <c r="F198" s="24"/>
      <c r="G198" s="25"/>
    </row>
    <row r="199" spans="1:7" ht="15">
      <c r="A199" s="185"/>
      <c r="B199" s="23"/>
      <c r="C199" s="26" t="str">
        <f>"UKUPNO: "&amp;C200&amp;" m'"</f>
        <v>UKUPNO: 186 m'</v>
      </c>
      <c r="D199" s="24"/>
      <c r="E199" s="161"/>
      <c r="F199" s="24"/>
      <c r="G199" s="25"/>
    </row>
    <row r="200" spans="1:7" ht="15">
      <c r="A200" s="184"/>
      <c r="B200" s="13" t="s">
        <v>8</v>
      </c>
      <c r="C200" s="27">
        <f>SUM(C198:C198)</f>
        <v>186</v>
      </c>
      <c r="D200" s="7" t="s">
        <v>95</v>
      </c>
      <c r="E200" s="162"/>
      <c r="F200" s="14" t="s">
        <v>6</v>
      </c>
      <c r="G200" s="15">
        <f>C200*E200</f>
        <v>0</v>
      </c>
    </row>
    <row r="201" spans="1:7" s="12" customFormat="1" ht="15">
      <c r="A201" s="223"/>
      <c r="B201" s="234"/>
      <c r="C201" s="235"/>
      <c r="D201" s="220"/>
      <c r="E201" s="221"/>
      <c r="F201" s="220"/>
      <c r="G201" s="222"/>
    </row>
    <row r="202" spans="1:7" ht="261" customHeight="1">
      <c r="A202" s="184" t="s">
        <v>7</v>
      </c>
      <c r="B202" s="4"/>
      <c r="C202" s="21" t="s">
        <v>275</v>
      </c>
      <c r="D202" s="4"/>
      <c r="E202" s="163"/>
      <c r="F202" s="4"/>
      <c r="G202" s="18"/>
    </row>
    <row r="203" spans="1:7" ht="270.75">
      <c r="A203" s="184"/>
      <c r="B203" s="4"/>
      <c r="C203" s="21" t="s">
        <v>37</v>
      </c>
      <c r="D203" s="4"/>
      <c r="E203" s="163"/>
      <c r="F203" s="4"/>
      <c r="G203" s="18"/>
    </row>
    <row r="204" spans="1:7" ht="182.45" customHeight="1">
      <c r="A204" s="184"/>
      <c r="B204" s="4"/>
      <c r="C204" s="21" t="s">
        <v>67</v>
      </c>
      <c r="D204" s="4"/>
      <c r="E204" s="163"/>
      <c r="F204" s="4"/>
      <c r="G204" s="18"/>
    </row>
    <row r="205" spans="1:7" ht="15">
      <c r="A205" s="185"/>
      <c r="B205" s="23" t="s">
        <v>172</v>
      </c>
      <c r="C205" s="149">
        <f>C198</f>
        <v>186</v>
      </c>
      <c r="D205" s="24"/>
      <c r="E205" s="161"/>
      <c r="F205" s="24"/>
      <c r="G205" s="25"/>
    </row>
    <row r="206" spans="1:7" ht="15">
      <c r="A206" s="185"/>
      <c r="B206" s="23"/>
      <c r="C206" s="26" t="str">
        <f>"UKUPNO: "&amp;C207&amp;" m'"</f>
        <v>UKUPNO: 186 m'</v>
      </c>
      <c r="D206" s="24"/>
      <c r="E206" s="161"/>
      <c r="F206" s="24"/>
      <c r="G206" s="25"/>
    </row>
    <row r="207" spans="1:7" ht="15">
      <c r="A207" s="184"/>
      <c r="B207" s="13" t="s">
        <v>8</v>
      </c>
      <c r="C207" s="27">
        <f>SUM(C205:C205)</f>
        <v>186</v>
      </c>
      <c r="D207" s="7" t="s">
        <v>95</v>
      </c>
      <c r="E207" s="162"/>
      <c r="F207" s="14" t="s">
        <v>6</v>
      </c>
      <c r="G207" s="15">
        <f>C207*E207</f>
        <v>0</v>
      </c>
    </row>
    <row r="208" spans="1:7" ht="15">
      <c r="A208" s="185"/>
      <c r="B208" s="23"/>
      <c r="C208" s="149"/>
      <c r="D208" s="24"/>
      <c r="E208" s="161"/>
      <c r="F208" s="24"/>
      <c r="G208" s="25"/>
    </row>
    <row r="209" spans="1:7" ht="15">
      <c r="A209" s="223"/>
      <c r="B209" s="234"/>
      <c r="C209" s="220"/>
      <c r="D209" s="257"/>
      <c r="E209" s="258"/>
      <c r="F209" s="257"/>
      <c r="G209" s="280"/>
    </row>
    <row r="210" spans="1:7" ht="15">
      <c r="A210" s="186"/>
      <c r="B210" s="50"/>
      <c r="C210" s="51"/>
      <c r="D210" s="52"/>
      <c r="E210" s="192"/>
      <c r="F210" s="52"/>
      <c r="G210" s="53"/>
    </row>
    <row r="211" spans="1:7" ht="15.75">
      <c r="A211" s="93" t="s">
        <v>32</v>
      </c>
      <c r="B211" s="55"/>
      <c r="C211" s="3" t="s">
        <v>38</v>
      </c>
      <c r="D211" s="54"/>
      <c r="E211" s="56"/>
      <c r="F211" s="55" t="s">
        <v>87</v>
      </c>
      <c r="G211" s="57">
        <f>SUM(G195:G210)</f>
        <v>0</v>
      </c>
    </row>
    <row r="212" spans="1:7" ht="15">
      <c r="A212" s="187"/>
      <c r="B212" s="58"/>
      <c r="C212" s="59"/>
      <c r="D212" s="60"/>
      <c r="E212" s="193"/>
      <c r="F212" s="60"/>
      <c r="G212" s="61"/>
    </row>
    <row r="213" spans="1:7" ht="15">
      <c r="A213" s="184"/>
      <c r="B213" s="16"/>
      <c r="C213" s="17"/>
      <c r="D213" s="4"/>
      <c r="E213" s="163"/>
      <c r="F213" s="4"/>
      <c r="G213" s="18"/>
    </row>
    <row r="214" spans="1:7" ht="15">
      <c r="A214" s="184"/>
      <c r="B214" s="16"/>
      <c r="C214" s="17"/>
      <c r="D214" s="4"/>
      <c r="E214" s="163"/>
      <c r="F214" s="4"/>
      <c r="G214" s="18"/>
    </row>
    <row r="215" spans="1:7" ht="15">
      <c r="A215" s="184"/>
      <c r="B215" s="16"/>
      <c r="C215" s="17"/>
      <c r="D215" s="4"/>
      <c r="E215" s="163"/>
      <c r="F215" s="4"/>
      <c r="G215" s="18"/>
    </row>
    <row r="217" spans="1:7" ht="18">
      <c r="A217" s="436" t="s">
        <v>73</v>
      </c>
      <c r="B217" s="436"/>
      <c r="C217" s="436"/>
      <c r="D217" s="436"/>
      <c r="E217" s="436"/>
      <c r="F217" s="436"/>
      <c r="G217" s="436"/>
    </row>
    <row r="218" spans="1:7" ht="18">
      <c r="A218" s="422"/>
      <c r="B218" s="422"/>
      <c r="C218" s="422"/>
      <c r="D218" s="422"/>
      <c r="E218" s="422"/>
      <c r="F218" s="422"/>
      <c r="G218" s="422"/>
    </row>
    <row r="219" spans="1:7" ht="18">
      <c r="A219" s="422"/>
      <c r="B219" s="422"/>
      <c r="C219" s="422"/>
      <c r="D219" s="422"/>
      <c r="E219" s="422"/>
      <c r="F219" s="422"/>
      <c r="G219" s="422"/>
    </row>
    <row r="220" spans="1:7" ht="15.75">
      <c r="A220" s="93"/>
      <c r="B220" s="54"/>
      <c r="C220" s="54"/>
      <c r="D220" s="54"/>
      <c r="E220" s="56"/>
      <c r="F220" s="54"/>
      <c r="G220" s="57"/>
    </row>
    <row r="221" spans="1:7" ht="15.75">
      <c r="A221" s="93"/>
      <c r="B221" s="54"/>
      <c r="C221" s="3"/>
      <c r="D221" s="54"/>
      <c r="E221" s="56"/>
      <c r="F221" s="54"/>
      <c r="G221" s="57"/>
    </row>
    <row r="222" spans="1:7" ht="15.75">
      <c r="A222" s="93"/>
      <c r="B222" s="54" t="s">
        <v>125</v>
      </c>
      <c r="C222" s="93" t="str">
        <f>C2</f>
        <v>OBORINSKA KANALIZACIJA</v>
      </c>
      <c r="D222" s="54"/>
      <c r="E222" s="56"/>
      <c r="F222" s="54"/>
      <c r="G222" s="57"/>
    </row>
    <row r="223" spans="1:7" ht="15.75">
      <c r="A223" s="93"/>
      <c r="B223" s="54"/>
      <c r="C223" s="3"/>
      <c r="D223" s="54"/>
      <c r="E223" s="56"/>
      <c r="F223" s="54"/>
      <c r="G223" s="57"/>
    </row>
    <row r="224" spans="1:7" ht="15.75">
      <c r="A224" s="93"/>
      <c r="B224" s="54"/>
      <c r="C224" s="103" t="str">
        <f>A4&amp;" "&amp;C4</f>
        <v>A) PRIPREMNI RADOVI</v>
      </c>
      <c r="D224" s="2"/>
      <c r="E224" s="104"/>
      <c r="F224" s="62" t="s">
        <v>87</v>
      </c>
      <c r="G224" s="105">
        <f>G14</f>
        <v>0</v>
      </c>
    </row>
    <row r="225" spans="1:7" ht="15.75">
      <c r="A225" s="93"/>
      <c r="B225" s="54"/>
      <c r="C225" s="3"/>
      <c r="D225" s="54"/>
      <c r="E225" s="56"/>
      <c r="F225" s="54"/>
      <c r="G225" s="57"/>
    </row>
    <row r="226" spans="1:7" ht="15.75">
      <c r="A226" s="93"/>
      <c r="B226" s="54"/>
      <c r="C226" s="103" t="str">
        <f>A17&amp;" "&amp;C17</f>
        <v>B) ZEMLJANI RADOVI</v>
      </c>
      <c r="D226" s="2"/>
      <c r="E226" s="104"/>
      <c r="F226" s="62" t="s">
        <v>87</v>
      </c>
      <c r="G226" s="105">
        <f>G67</f>
        <v>0</v>
      </c>
    </row>
    <row r="227" spans="1:7" ht="15.75">
      <c r="A227" s="93"/>
      <c r="B227" s="54"/>
      <c r="C227" s="103"/>
      <c r="D227" s="2"/>
      <c r="E227" s="104"/>
      <c r="F227" s="62"/>
      <c r="G227" s="105"/>
    </row>
    <row r="228" spans="1:7" ht="15.75">
      <c r="A228" s="93"/>
      <c r="B228" s="54"/>
      <c r="C228" s="103" t="str">
        <f>A70&amp;" "&amp;C70</f>
        <v>C) BETONSKI RADOVI</v>
      </c>
      <c r="D228" s="2"/>
      <c r="E228" s="104"/>
      <c r="F228" s="62" t="s">
        <v>87</v>
      </c>
      <c r="G228" s="105">
        <f>G103</f>
        <v>0</v>
      </c>
    </row>
    <row r="229" spans="1:7" ht="15.75">
      <c r="A229" s="93"/>
      <c r="B229" s="54"/>
      <c r="C229" s="106"/>
      <c r="D229" s="2"/>
      <c r="E229" s="104"/>
      <c r="F229" s="62"/>
      <c r="G229" s="105"/>
    </row>
    <row r="230" spans="1:7" ht="15.75">
      <c r="A230" s="93"/>
      <c r="B230" s="54"/>
      <c r="C230" s="103" t="str">
        <f>A106&amp;" "&amp;C106</f>
        <v>D) DOBAVA, DOPREMA I UGRADNJA MATERIJALA</v>
      </c>
      <c r="D230" s="2"/>
      <c r="E230" s="104"/>
      <c r="F230" s="62" t="s">
        <v>87</v>
      </c>
      <c r="G230" s="105">
        <f>G192</f>
        <v>0</v>
      </c>
    </row>
    <row r="231" spans="1:7" ht="15.75">
      <c r="A231" s="93"/>
      <c r="B231" s="54"/>
      <c r="C231" s="106"/>
      <c r="D231" s="2"/>
      <c r="E231" s="104"/>
      <c r="F231" s="62"/>
      <c r="G231" s="105"/>
    </row>
    <row r="232" spans="1:7" ht="15.75">
      <c r="A232" s="93"/>
      <c r="B232" s="54"/>
      <c r="C232" s="103" t="str">
        <f>A195&amp;" "&amp;C195</f>
        <v>E) OSTALI RADOVI</v>
      </c>
      <c r="D232" s="2"/>
      <c r="E232" s="104"/>
      <c r="F232" s="62" t="s">
        <v>87</v>
      </c>
      <c r="G232" s="105">
        <f>G211</f>
        <v>0</v>
      </c>
    </row>
    <row r="233" spans="1:7" ht="15.75">
      <c r="A233" s="93"/>
      <c r="B233" s="54"/>
      <c r="C233" s="103"/>
      <c r="D233" s="2"/>
      <c r="E233" s="104"/>
      <c r="F233" s="62"/>
      <c r="G233" s="105"/>
    </row>
    <row r="234" spans="1:7" ht="16.5" thickBot="1">
      <c r="A234" s="212"/>
      <c r="B234" s="107"/>
      <c r="C234" s="108"/>
      <c r="D234" s="107"/>
      <c r="E234" s="109"/>
      <c r="F234" s="107"/>
      <c r="G234" s="110"/>
    </row>
    <row r="235" spans="1:7" ht="16.5" thickTop="1">
      <c r="A235" s="93"/>
      <c r="B235" s="54"/>
      <c r="C235" s="3"/>
      <c r="D235" s="54"/>
      <c r="E235" s="56"/>
      <c r="F235" s="54"/>
      <c r="G235" s="57"/>
    </row>
    <row r="236" spans="1:7" ht="15.75">
      <c r="A236" s="93"/>
      <c r="B236" s="54" t="s">
        <v>125</v>
      </c>
      <c r="C236" s="111" t="str">
        <f>"UKUPNO "&amp;C2&amp;":"</f>
        <v>UKUPNO OBORINSKA KANALIZACIJA:</v>
      </c>
      <c r="D236" s="54"/>
      <c r="E236" s="56"/>
      <c r="F236" s="55" t="s">
        <v>87</v>
      </c>
      <c r="G236" s="57">
        <f>SUM(G222:G235)</f>
        <v>0</v>
      </c>
    </row>
    <row r="237" spans="1:7" ht="16.5" thickBot="1">
      <c r="A237" s="212"/>
      <c r="B237" s="107"/>
      <c r="C237" s="108"/>
      <c r="D237" s="107"/>
      <c r="E237" s="109"/>
      <c r="F237" s="107"/>
      <c r="G237" s="110"/>
    </row>
    <row r="238" spans="1:7" s="10" customFormat="1" ht="15" thickTop="1">
      <c r="A238" s="181"/>
      <c r="B238" s="8"/>
      <c r="C238" s="43"/>
      <c r="G238" s="8"/>
    </row>
  </sheetData>
  <mergeCells count="1">
    <mergeCell ref="A217:G217"/>
  </mergeCells>
  <pageMargins left="0.70866141732283472" right="0.70866141732283472" top="0.74803149606299213" bottom="0.74803149606299213" header="0.31496062992125984" footer="0.31496062992125984"/>
  <pageSetup paperSize="9" scale="83" firstPageNumber="48" fitToHeight="0" orientation="portrait" useFirstPageNumber="1" r:id="rId1"/>
  <headerFooter>
    <oddHeader>&amp;L&amp;8FLUM-ING d.o.o.</oddHeader>
    <oddFooter>&amp;L&amp;8Vodovodni ogranak i kanalizacijska
mreža u Banjolu, Vatrogasni dom-Brni&amp;R&amp;8&amp;P</oddFooter>
  </headerFooter>
  <rowBreaks count="9" manualBreakCount="9">
    <brk id="15" max="16383" man="1"/>
    <brk id="35" max="6" man="1"/>
    <brk id="68" max="16383" man="1"/>
    <brk id="104" max="16383" man="1"/>
    <brk id="111" max="6" man="1"/>
    <brk id="135" max="6" man="1"/>
    <brk id="193" max="6" man="1"/>
    <brk id="203" max="6" man="1"/>
    <brk id="21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93F17-F067-4405-BC5A-A36E55BD1216}">
  <dimension ref="A1:G70"/>
  <sheetViews>
    <sheetView showGridLines="0" showZeros="0" view="pageBreakPreview" topLeftCell="A35" zoomScale="90" zoomScaleNormal="40" zoomScaleSheetLayoutView="90" workbookViewId="0">
      <selection activeCell="J64" sqref="J64"/>
    </sheetView>
  </sheetViews>
  <sheetFormatPr defaultColWidth="9" defaultRowHeight="14.25"/>
  <cols>
    <col min="1" max="1" width="5.625" style="181" customWidth="1"/>
    <col min="2" max="2" width="5.625" style="8" customWidth="1"/>
    <col min="3" max="3" width="60.125" style="43" customWidth="1"/>
    <col min="4" max="4" width="2" style="10" bestFit="1" customWidth="1"/>
    <col min="5" max="5" width="8.875" style="10" bestFit="1" customWidth="1"/>
    <col min="6" max="6" width="3.5" style="10" bestFit="1" customWidth="1"/>
    <col min="7" max="7" width="10.375" style="8" customWidth="1"/>
    <col min="8" max="16384" width="9" style="43"/>
  </cols>
  <sheetData>
    <row r="1" spans="1:7">
      <c r="C1" s="150"/>
    </row>
    <row r="2" spans="1:7" ht="18">
      <c r="A2" s="424" t="s">
        <v>183</v>
      </c>
      <c r="B2" s="425"/>
      <c r="C2" s="423" t="s">
        <v>249</v>
      </c>
    </row>
    <row r="3" spans="1:7">
      <c r="C3" s="150"/>
    </row>
    <row r="4" spans="1:7" ht="15.75">
      <c r="A4" s="93" t="s">
        <v>1</v>
      </c>
      <c r="B4" s="55"/>
      <c r="C4" s="3" t="s">
        <v>19</v>
      </c>
      <c r="D4" s="54"/>
      <c r="E4" s="56"/>
      <c r="F4" s="54"/>
      <c r="G4" s="57"/>
    </row>
    <row r="5" spans="1:7" ht="15">
      <c r="A5" s="184"/>
      <c r="B5" s="16"/>
      <c r="C5" s="5"/>
      <c r="D5" s="4"/>
      <c r="E5" s="180"/>
      <c r="F5" s="4"/>
      <c r="G5" s="6"/>
    </row>
    <row r="6" spans="1:7" ht="158.25">
      <c r="A6" s="184" t="s">
        <v>3</v>
      </c>
      <c r="B6" s="23"/>
      <c r="C6" s="76" t="s">
        <v>255</v>
      </c>
      <c r="D6" s="24"/>
      <c r="E6" s="180"/>
      <c r="F6" s="24"/>
      <c r="G6" s="6"/>
    </row>
    <row r="7" spans="1:7" ht="28.5">
      <c r="A7" s="184"/>
      <c r="B7" s="23"/>
      <c r="C7" s="376" t="s">
        <v>258</v>
      </c>
      <c r="D7" s="24"/>
      <c r="E7" s="180"/>
      <c r="F7" s="24"/>
      <c r="G7" s="6"/>
    </row>
    <row r="8" spans="1:7" ht="15">
      <c r="A8" s="22"/>
      <c r="B8" s="23"/>
      <c r="C8" s="168" t="str">
        <f>"875,0 × 0,25 + 19,24 = "&amp;ROUNDUP(875*0.25+19.24,1)&amp;" m³"</f>
        <v>875,0 × 0,25 + 19,24 = 238 m³</v>
      </c>
      <c r="D8" s="24"/>
      <c r="E8" s="94"/>
      <c r="F8" s="24"/>
      <c r="G8" s="25"/>
    </row>
    <row r="9" spans="1:7" ht="15">
      <c r="A9" s="22"/>
      <c r="B9" s="23"/>
      <c r="C9" s="26" t="str">
        <f t="shared" ref="C9" si="0">"UKUPNO: "&amp;C10&amp;" m³"</f>
        <v>UKUPNO: 238 m³</v>
      </c>
      <c r="D9" s="24"/>
      <c r="E9" s="94"/>
      <c r="F9" s="24"/>
      <c r="G9" s="25"/>
    </row>
    <row r="10" spans="1:7" ht="15">
      <c r="A10" s="22"/>
      <c r="B10" s="33" t="s">
        <v>20</v>
      </c>
      <c r="C10" s="167">
        <f>ROUNDUP(238,0)</f>
        <v>238</v>
      </c>
      <c r="D10" s="22" t="s">
        <v>95</v>
      </c>
      <c r="E10" s="95"/>
      <c r="F10" s="14" t="s">
        <v>6</v>
      </c>
      <c r="G10" s="66">
        <f t="shared" ref="G10" si="1">C10*E10</f>
        <v>0</v>
      </c>
    </row>
    <row r="11" spans="1:7" ht="15">
      <c r="A11" s="184"/>
      <c r="B11" s="16"/>
      <c r="C11" s="5"/>
      <c r="D11" s="4"/>
      <c r="E11" s="180"/>
      <c r="F11" s="4"/>
      <c r="G11" s="6"/>
    </row>
    <row r="12" spans="1:7" s="12" customFormat="1" ht="86.25">
      <c r="A12" s="184" t="s">
        <v>7</v>
      </c>
      <c r="B12" s="23"/>
      <c r="C12" s="76" t="s">
        <v>259</v>
      </c>
      <c r="D12" s="24"/>
      <c r="E12" s="377"/>
      <c r="F12" s="24"/>
      <c r="G12" s="6"/>
    </row>
    <row r="13" spans="1:7" s="12" customFormat="1" ht="199.5">
      <c r="A13" s="184" t="s">
        <v>29</v>
      </c>
      <c r="B13" s="23"/>
      <c r="C13" s="378" t="s">
        <v>250</v>
      </c>
      <c r="D13" s="24"/>
      <c r="E13" s="377"/>
      <c r="F13" s="24"/>
      <c r="G13" s="6"/>
    </row>
    <row r="14" spans="1:7" s="12" customFormat="1" ht="28.5">
      <c r="A14" s="30"/>
      <c r="B14" s="8"/>
      <c r="C14" s="78" t="s">
        <v>251</v>
      </c>
      <c r="D14" s="10"/>
      <c r="E14" s="96"/>
      <c r="F14" s="10"/>
      <c r="G14" s="75"/>
    </row>
    <row r="15" spans="1:7" ht="15">
      <c r="A15" s="22"/>
      <c r="B15" s="23"/>
      <c r="C15" s="168" t="str">
        <f>"(1200 - 875 - 82,04) × 0,10 × 80% = "&amp;ROUNDUP((1200 - 875 - 82.04)*0.1*0.8,1)&amp;" m³"</f>
        <v>(1200 - 875 - 82,04) × 0,10 × 80% = 19,5 m³</v>
      </c>
      <c r="D15" s="24"/>
      <c r="E15" s="94"/>
      <c r="F15" s="24"/>
      <c r="G15" s="25"/>
    </row>
    <row r="16" spans="1:7" ht="15">
      <c r="A16" s="22"/>
      <c r="B16" s="23"/>
      <c r="C16" s="26" t="str">
        <f>"UKUPNO: "&amp;C17&amp;" m³"</f>
        <v>UKUPNO: 20 m³</v>
      </c>
      <c r="D16" s="24"/>
      <c r="E16" s="94"/>
      <c r="F16" s="24"/>
      <c r="G16" s="25"/>
    </row>
    <row r="17" spans="1:7" s="12" customFormat="1" ht="15">
      <c r="A17" s="22"/>
      <c r="B17" s="33" t="s">
        <v>20</v>
      </c>
      <c r="C17" s="167">
        <f>ROUNDUP(19.5,0)</f>
        <v>20</v>
      </c>
      <c r="D17" s="22" t="s">
        <v>95</v>
      </c>
      <c r="E17" s="95"/>
      <c r="F17" s="14" t="s">
        <v>6</v>
      </c>
      <c r="G17" s="66">
        <f>C17*E17</f>
        <v>0</v>
      </c>
    </row>
    <row r="18" spans="1:7" s="12" customFormat="1" ht="42.75">
      <c r="A18" s="184" t="s">
        <v>144</v>
      </c>
      <c r="B18" s="23"/>
      <c r="C18" s="76" t="s">
        <v>59</v>
      </c>
      <c r="D18" s="24"/>
      <c r="E18" s="377"/>
      <c r="F18" s="24"/>
      <c r="G18" s="6"/>
    </row>
    <row r="19" spans="1:7" s="12" customFormat="1" ht="15">
      <c r="A19" s="174"/>
      <c r="B19" s="8"/>
      <c r="C19" s="78" t="s">
        <v>127</v>
      </c>
      <c r="D19" s="10"/>
      <c r="E19" s="96"/>
      <c r="F19" s="10"/>
      <c r="G19" s="75"/>
    </row>
    <row r="20" spans="1:7" ht="15">
      <c r="A20" s="185"/>
      <c r="B20" s="23"/>
      <c r="C20" s="379" t="str">
        <f>"(1200 - 875 - 82,04) × 20% = "&amp;ROUNDUP(((1200 - 875 - 82.04)*0.2),1)&amp;" m²"</f>
        <v>(1200 - 875 - 82,04) × 20% = 48,6 m²</v>
      </c>
      <c r="D20" s="24"/>
      <c r="E20" s="94"/>
      <c r="F20" s="24"/>
      <c r="G20" s="25"/>
    </row>
    <row r="21" spans="1:7" ht="15">
      <c r="A21" s="185"/>
      <c r="B21" s="23"/>
      <c r="C21" s="26" t="str">
        <f>"UKUPNO: "&amp;C22&amp;" m²"</f>
        <v>UKUPNO: 49 m²</v>
      </c>
      <c r="D21" s="24"/>
      <c r="E21" s="94"/>
      <c r="F21" s="24"/>
      <c r="G21" s="25"/>
    </row>
    <row r="22" spans="1:7" s="12" customFormat="1" ht="15">
      <c r="A22" s="185"/>
      <c r="B22" s="33" t="s">
        <v>13</v>
      </c>
      <c r="C22" s="167">
        <f>ROUNDUP(48.6,0)</f>
        <v>49</v>
      </c>
      <c r="D22" s="22" t="s">
        <v>95</v>
      </c>
      <c r="E22" s="95"/>
      <c r="F22" s="14" t="s">
        <v>6</v>
      </c>
      <c r="G22" s="66">
        <f>C22*E22</f>
        <v>0</v>
      </c>
    </row>
    <row r="23" spans="1:7" s="12" customFormat="1" ht="15">
      <c r="A23" s="185"/>
      <c r="B23" s="33"/>
      <c r="C23" s="167"/>
      <c r="D23" s="22"/>
      <c r="E23" s="95"/>
      <c r="F23" s="14"/>
      <c r="G23" s="66"/>
    </row>
    <row r="24" spans="1:7" s="12" customFormat="1" ht="15">
      <c r="A24" s="185"/>
      <c r="B24" s="33"/>
      <c r="C24" s="167"/>
      <c r="D24" s="22"/>
      <c r="E24" s="95"/>
      <c r="F24" s="14"/>
      <c r="G24" s="66"/>
    </row>
    <row r="25" spans="1:7" ht="15">
      <c r="A25" s="184"/>
      <c r="B25" s="16"/>
      <c r="C25" s="5"/>
      <c r="D25" s="4"/>
      <c r="E25" s="180"/>
      <c r="F25" s="4"/>
      <c r="G25" s="6"/>
    </row>
    <row r="26" spans="1:7" ht="15">
      <c r="A26" s="186"/>
      <c r="B26" s="50"/>
      <c r="C26" s="51"/>
      <c r="D26" s="52"/>
      <c r="E26" s="192"/>
      <c r="F26" s="52"/>
      <c r="G26" s="53"/>
    </row>
    <row r="27" spans="1:7" ht="15.75">
      <c r="A27" s="93" t="s">
        <v>1</v>
      </c>
      <c r="B27" s="55"/>
      <c r="C27" s="3" t="s">
        <v>24</v>
      </c>
      <c r="D27" s="54"/>
      <c r="E27" s="56"/>
      <c r="F27" s="55" t="s">
        <v>87</v>
      </c>
      <c r="G27" s="57">
        <f>SUM(G4:G26)</f>
        <v>0</v>
      </c>
    </row>
    <row r="28" spans="1:7" ht="15">
      <c r="A28" s="187"/>
      <c r="B28" s="58"/>
      <c r="C28" s="59"/>
      <c r="D28" s="60"/>
      <c r="E28" s="193"/>
      <c r="F28" s="60"/>
      <c r="G28" s="61"/>
    </row>
    <row r="29" spans="1:7" ht="15">
      <c r="A29" s="184"/>
      <c r="B29" s="16"/>
      <c r="C29" s="17"/>
      <c r="D29" s="4"/>
      <c r="E29" s="163"/>
      <c r="F29" s="4"/>
      <c r="G29" s="18"/>
    </row>
    <row r="30" spans="1:7" ht="15.75">
      <c r="A30" s="93" t="s">
        <v>18</v>
      </c>
      <c r="B30" s="55"/>
      <c r="C30" s="3" t="s">
        <v>28</v>
      </c>
      <c r="D30" s="54"/>
      <c r="E30" s="56"/>
      <c r="F30" s="54"/>
      <c r="G30" s="57"/>
    </row>
    <row r="31" spans="1:7" ht="15">
      <c r="A31" s="184"/>
      <c r="B31" s="16"/>
      <c r="C31" s="5"/>
      <c r="D31" s="4"/>
      <c r="E31" s="180"/>
      <c r="F31" s="4"/>
      <c r="G31" s="6"/>
    </row>
    <row r="32" spans="1:7" ht="188.25">
      <c r="A32" s="184" t="s">
        <v>3</v>
      </c>
      <c r="B32" s="16"/>
      <c r="C32" s="9" t="s">
        <v>335</v>
      </c>
      <c r="D32" s="4"/>
      <c r="E32" s="180"/>
      <c r="F32" s="4"/>
      <c r="G32" s="6"/>
    </row>
    <row r="33" spans="1:7" ht="15">
      <c r="A33" s="184"/>
      <c r="B33" s="16"/>
      <c r="C33" s="78" t="s">
        <v>337</v>
      </c>
      <c r="D33" s="4"/>
      <c r="E33" s="180"/>
      <c r="F33" s="4"/>
      <c r="G33" s="6"/>
    </row>
    <row r="34" spans="1:7" ht="15">
      <c r="A34" s="184"/>
      <c r="B34" s="16"/>
      <c r="C34" s="201" t="str">
        <f>"- betonska površina: 200,0 × 0,15 = 30,0 m³"</f>
        <v>- betonska površina: 200,0 × 0,15 = 30,0 m³</v>
      </c>
      <c r="D34" s="4"/>
      <c r="E34" s="180"/>
      <c r="F34" s="4"/>
      <c r="G34" s="6"/>
    </row>
    <row r="35" spans="1:7" ht="15">
      <c r="A35" s="184"/>
      <c r="B35" s="16"/>
      <c r="C35" s="323" t="str">
        <f>"SVEUKUPNO: "&amp;C36&amp;" m³"</f>
        <v>SVEUKUPNO: 30 m³</v>
      </c>
      <c r="D35" s="4"/>
      <c r="E35" s="180"/>
      <c r="F35" s="4"/>
      <c r="G35" s="6"/>
    </row>
    <row r="36" spans="1:7" ht="17.25">
      <c r="A36" s="184"/>
      <c r="B36" s="166" t="s">
        <v>336</v>
      </c>
      <c r="C36" s="167">
        <v>30</v>
      </c>
      <c r="D36" s="7" t="s">
        <v>95</v>
      </c>
      <c r="E36" s="95"/>
      <c r="F36" s="14" t="s">
        <v>6</v>
      </c>
      <c r="G36" s="15">
        <f>+E36*C36</f>
        <v>0</v>
      </c>
    </row>
    <row r="37" spans="1:7" ht="15">
      <c r="A37" s="184"/>
      <c r="B37" s="166"/>
      <c r="C37" s="167"/>
      <c r="D37" s="7"/>
      <c r="E37" s="95"/>
      <c r="F37" s="14"/>
      <c r="G37" s="15"/>
    </row>
    <row r="38" spans="1:7" ht="15">
      <c r="A38" s="184"/>
      <c r="B38" s="166"/>
      <c r="C38" s="167"/>
      <c r="D38" s="7"/>
      <c r="E38" s="95"/>
      <c r="F38" s="14"/>
      <c r="G38" s="15"/>
    </row>
    <row r="39" spans="1:7" ht="15">
      <c r="A39" s="184"/>
      <c r="B39" s="16"/>
      <c r="C39" s="5"/>
      <c r="D39" s="4"/>
      <c r="E39" s="180"/>
      <c r="F39" s="4"/>
      <c r="G39" s="6"/>
    </row>
    <row r="40" spans="1:7" ht="15">
      <c r="A40" s="186"/>
      <c r="B40" s="50"/>
      <c r="C40" s="51"/>
      <c r="D40" s="52"/>
      <c r="E40" s="192"/>
      <c r="F40" s="52"/>
      <c r="G40" s="53"/>
    </row>
    <row r="41" spans="1:7" ht="15.75">
      <c r="A41" s="93" t="s">
        <v>18</v>
      </c>
      <c r="B41" s="55"/>
      <c r="C41" s="3" t="s">
        <v>30</v>
      </c>
      <c r="D41" s="54"/>
      <c r="E41" s="56"/>
      <c r="F41" s="55" t="s">
        <v>87</v>
      </c>
      <c r="G41" s="57">
        <f>SUM(G30:G40)</f>
        <v>0</v>
      </c>
    </row>
    <row r="42" spans="1:7" ht="15">
      <c r="A42" s="187"/>
      <c r="B42" s="58"/>
      <c r="C42" s="59"/>
      <c r="D42" s="60"/>
      <c r="E42" s="193"/>
      <c r="F42" s="60"/>
      <c r="G42" s="61"/>
    </row>
    <row r="43" spans="1:7" ht="15">
      <c r="A43" s="184"/>
      <c r="B43" s="16"/>
      <c r="C43" s="17"/>
      <c r="D43" s="4"/>
      <c r="E43" s="163"/>
      <c r="F43" s="4"/>
      <c r="G43" s="18"/>
    </row>
    <row r="44" spans="1:7" ht="15.75">
      <c r="A44" s="93" t="s">
        <v>27</v>
      </c>
      <c r="B44" s="55"/>
      <c r="C44" s="3" t="s">
        <v>252</v>
      </c>
      <c r="D44" s="54"/>
      <c r="E44" s="56"/>
      <c r="F44" s="54"/>
      <c r="G44" s="57"/>
    </row>
    <row r="45" spans="1:7" ht="15">
      <c r="A45" s="184"/>
      <c r="B45" s="16"/>
      <c r="C45" s="5"/>
      <c r="D45" s="4"/>
      <c r="E45" s="180"/>
      <c r="F45" s="4"/>
      <c r="G45" s="6"/>
    </row>
    <row r="46" spans="1:7" ht="157.5">
      <c r="A46" s="184" t="s">
        <v>3</v>
      </c>
      <c r="B46" s="16"/>
      <c r="C46" s="9" t="s">
        <v>254</v>
      </c>
      <c r="D46" s="4"/>
      <c r="E46" s="180"/>
      <c r="F46" s="4"/>
      <c r="G46" s="6"/>
    </row>
    <row r="47" spans="1:7" ht="15">
      <c r="A47" s="184"/>
      <c r="B47" s="166" t="s">
        <v>13</v>
      </c>
      <c r="C47" s="167">
        <v>1200</v>
      </c>
      <c r="D47" s="7" t="s">
        <v>95</v>
      </c>
      <c r="E47" s="95"/>
      <c r="F47" s="14" t="s">
        <v>6</v>
      </c>
      <c r="G47" s="15">
        <f>+E47*C47</f>
        <v>0</v>
      </c>
    </row>
    <row r="48" spans="1:7" ht="15">
      <c r="A48" s="184"/>
      <c r="B48" s="166"/>
      <c r="C48" s="167"/>
      <c r="D48" s="7"/>
      <c r="E48" s="95"/>
      <c r="F48" s="14"/>
      <c r="G48" s="15"/>
    </row>
    <row r="49" spans="1:7" ht="15">
      <c r="A49" s="184"/>
      <c r="B49" s="166"/>
      <c r="C49" s="167"/>
      <c r="D49" s="7"/>
      <c r="E49" s="95"/>
      <c r="F49" s="14"/>
      <c r="G49" s="15"/>
    </row>
    <row r="50" spans="1:7" ht="15">
      <c r="A50" s="184"/>
      <c r="B50" s="16"/>
      <c r="C50" s="5"/>
      <c r="D50" s="4"/>
      <c r="E50" s="180"/>
      <c r="F50" s="4"/>
      <c r="G50" s="6"/>
    </row>
    <row r="51" spans="1:7" ht="15">
      <c r="A51" s="186"/>
      <c r="B51" s="50"/>
      <c r="C51" s="51"/>
      <c r="D51" s="52"/>
      <c r="E51" s="192"/>
      <c r="F51" s="52"/>
      <c r="G51" s="53"/>
    </row>
    <row r="52" spans="1:7" ht="15.75">
      <c r="A52" s="93" t="s">
        <v>27</v>
      </c>
      <c r="B52" s="55"/>
      <c r="C52" s="3" t="s">
        <v>253</v>
      </c>
      <c r="D52" s="54"/>
      <c r="E52" s="56"/>
      <c r="F52" s="55" t="s">
        <v>87</v>
      </c>
      <c r="G52" s="57">
        <f>SUM(G44:G51)</f>
        <v>0</v>
      </c>
    </row>
    <row r="53" spans="1:7" ht="15">
      <c r="A53" s="187"/>
      <c r="B53" s="58"/>
      <c r="C53" s="59"/>
      <c r="D53" s="60"/>
      <c r="E53" s="193"/>
      <c r="F53" s="60"/>
      <c r="G53" s="61"/>
    </row>
    <row r="55" spans="1:7" ht="15.75">
      <c r="A55" s="437" t="s">
        <v>73</v>
      </c>
      <c r="B55" s="437"/>
      <c r="C55" s="437"/>
      <c r="D55" s="437"/>
      <c r="E55" s="437"/>
      <c r="F55" s="437"/>
      <c r="G55" s="437"/>
    </row>
    <row r="56" spans="1:7" ht="15.75">
      <c r="A56" s="93"/>
      <c r="B56" s="54"/>
      <c r="C56" s="54"/>
      <c r="D56" s="54"/>
      <c r="E56" s="56"/>
      <c r="F56" s="54"/>
      <c r="G56" s="57"/>
    </row>
    <row r="57" spans="1:7" ht="15.75">
      <c r="A57" s="93"/>
      <c r="B57" s="54"/>
      <c r="C57" s="3"/>
      <c r="D57" s="54"/>
      <c r="E57" s="56"/>
      <c r="F57" s="54"/>
      <c r="G57" s="57"/>
    </row>
    <row r="58" spans="1:7" ht="15.75">
      <c r="A58" s="93"/>
      <c r="B58" s="54" t="s">
        <v>183</v>
      </c>
      <c r="C58" s="93" t="str">
        <f>C2</f>
        <v>NERAZVRSTANA CESTA</v>
      </c>
      <c r="D58" s="54"/>
      <c r="E58" s="56"/>
      <c r="F58" s="54"/>
      <c r="G58" s="57"/>
    </row>
    <row r="59" spans="1:7" ht="15.75">
      <c r="A59" s="93"/>
      <c r="B59" s="54"/>
      <c r="C59" s="3"/>
      <c r="D59" s="54"/>
      <c r="E59" s="56"/>
      <c r="F59" s="54"/>
      <c r="G59" s="57"/>
    </row>
    <row r="60" spans="1:7" ht="15.75">
      <c r="A60" s="93"/>
      <c r="B60" s="54"/>
      <c r="C60" s="103" t="str">
        <f>A4&amp;" "&amp;C4</f>
        <v>A) ZEMLJANI RADOVI</v>
      </c>
      <c r="D60" s="2"/>
      <c r="E60" s="104"/>
      <c r="F60" s="62" t="s">
        <v>87</v>
      </c>
      <c r="G60" s="105">
        <f>G27</f>
        <v>0</v>
      </c>
    </row>
    <row r="61" spans="1:7" ht="15.75">
      <c r="A61" s="93"/>
      <c r="B61" s="54"/>
      <c r="C61" s="103" t="str">
        <f t="shared" ref="C61" si="2">A5&amp;" "&amp;C5</f>
        <v xml:space="preserve"> </v>
      </c>
      <c r="D61" s="2"/>
      <c r="E61" s="104"/>
      <c r="F61" s="62"/>
      <c r="G61" s="105"/>
    </row>
    <row r="62" spans="1:7" ht="15.75">
      <c r="A62" s="93"/>
      <c r="B62" s="54"/>
      <c r="C62" s="103" t="str">
        <f>A30&amp;" "&amp;C30</f>
        <v>B) BETONSKI RADOVI</v>
      </c>
      <c r="D62" s="2"/>
      <c r="E62" s="104"/>
      <c r="F62" s="62" t="s">
        <v>87</v>
      </c>
      <c r="G62" s="105">
        <f>G41</f>
        <v>0</v>
      </c>
    </row>
    <row r="63" spans="1:7" ht="15.75">
      <c r="A63" s="93"/>
      <c r="B63" s="54"/>
      <c r="C63" s="103"/>
      <c r="D63" s="2"/>
      <c r="E63" s="104"/>
      <c r="F63" s="62"/>
      <c r="G63" s="105"/>
    </row>
    <row r="64" spans="1:7" ht="15.75">
      <c r="A64" s="93"/>
      <c r="B64" s="54"/>
      <c r="C64" s="103" t="str">
        <f>A44&amp;" "&amp;C44</f>
        <v>C) ASFALTERSKI RADOVI</v>
      </c>
      <c r="D64" s="2"/>
      <c r="E64" s="104"/>
      <c r="F64" s="62" t="s">
        <v>87</v>
      </c>
      <c r="G64" s="105">
        <f>G52</f>
        <v>0</v>
      </c>
    </row>
    <row r="65" spans="1:7" ht="15.75">
      <c r="A65" s="93"/>
      <c r="B65" s="54"/>
      <c r="C65" s="3"/>
      <c r="D65" s="54"/>
      <c r="E65" s="56"/>
      <c r="F65" s="54"/>
      <c r="G65" s="57"/>
    </row>
    <row r="66" spans="1:7" ht="16.5" thickBot="1">
      <c r="A66" s="212"/>
      <c r="B66" s="107"/>
      <c r="C66" s="108"/>
      <c r="D66" s="107"/>
      <c r="E66" s="109"/>
      <c r="F66" s="107"/>
      <c r="G66" s="110"/>
    </row>
    <row r="67" spans="1:7" ht="16.5" thickTop="1">
      <c r="A67" s="93"/>
      <c r="B67" s="54"/>
      <c r="C67" s="3"/>
      <c r="D67" s="54"/>
      <c r="E67" s="56"/>
      <c r="F67" s="54"/>
      <c r="G67" s="57"/>
    </row>
    <row r="68" spans="1:7" ht="15.75">
      <c r="A68" s="93"/>
      <c r="B68" s="54" t="s">
        <v>183</v>
      </c>
      <c r="C68" s="111" t="str">
        <f>"UKUPNO "&amp;C2&amp;":"</f>
        <v>UKUPNO NERAZVRSTANA CESTA:</v>
      </c>
      <c r="D68" s="54"/>
      <c r="E68" s="56"/>
      <c r="F68" s="213" t="s">
        <v>87</v>
      </c>
      <c r="G68" s="214">
        <f>SUM(G58:G66)</f>
        <v>0</v>
      </c>
    </row>
    <row r="69" spans="1:7" ht="16.5" thickBot="1">
      <c r="A69" s="212"/>
      <c r="B69" s="107"/>
      <c r="C69" s="108"/>
      <c r="D69" s="107"/>
      <c r="E69" s="109"/>
      <c r="F69" s="107"/>
      <c r="G69" s="110"/>
    </row>
    <row r="70" spans="1:7" ht="15" thickTop="1"/>
  </sheetData>
  <mergeCells count="1">
    <mergeCell ref="A55:G55"/>
  </mergeCells>
  <pageMargins left="0.70866141732283472" right="0.70866141732283472" top="0.74803149606299213" bottom="0.74803149606299213" header="0.31496062992125984" footer="0.31496062992125984"/>
  <pageSetup paperSize="9" scale="83" firstPageNumber="49" fitToHeight="0" orientation="portrait" useFirstPageNumber="1" r:id="rId1"/>
  <headerFooter>
    <oddHeader>&amp;L&amp;8FLUM-ING d.o.o.</oddHeader>
    <oddFooter>&amp;L&amp;8Vodovodni ogranak i kanalizacijska
mreža u Banjolu, Vatrogasni dom-Brni&amp;R&amp;8&amp;P</oddFooter>
  </headerFooter>
  <rowBreaks count="3" manualBreakCount="3">
    <brk id="28" max="6" man="1"/>
    <brk id="42" max="16383" man="1"/>
    <brk id="5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G27"/>
  <sheetViews>
    <sheetView showZeros="0" tabSelected="1" view="pageBreakPreview" zoomScale="115" zoomScaleNormal="100" zoomScaleSheetLayoutView="115" zoomScalePageLayoutView="115" workbookViewId="0">
      <selection activeCell="I15" sqref="I15"/>
    </sheetView>
  </sheetViews>
  <sheetFormatPr defaultColWidth="9" defaultRowHeight="15"/>
  <cols>
    <col min="1" max="1" width="4.875" style="7" bestFit="1" customWidth="1"/>
    <col min="2" max="2" width="3" style="88" customWidth="1"/>
    <col min="3" max="3" width="54.375" style="87" customWidth="1"/>
    <col min="4" max="4" width="2.75" style="88" customWidth="1"/>
    <col min="5" max="5" width="5.125" style="147" customWidth="1"/>
    <col min="6" max="6" width="3.5" style="88" bestFit="1" customWidth="1"/>
    <col min="7" max="7" width="16.625" style="119" customWidth="1"/>
    <col min="8" max="16384" width="9" style="114"/>
  </cols>
  <sheetData>
    <row r="4" spans="1:7" ht="18">
      <c r="A4" s="112"/>
      <c r="B4" s="113"/>
      <c r="C4" s="113"/>
      <c r="D4" s="113"/>
      <c r="E4" s="113"/>
      <c r="F4" s="113"/>
      <c r="G4" s="113"/>
    </row>
    <row r="5" spans="1:7" ht="20.25">
      <c r="A5" s="438" t="s">
        <v>74</v>
      </c>
      <c r="B5" s="438"/>
      <c r="C5" s="438"/>
      <c r="D5" s="438"/>
      <c r="E5" s="438"/>
      <c r="F5" s="438"/>
      <c r="G5" s="438"/>
    </row>
    <row r="6" spans="1:7" ht="20.25">
      <c r="A6" s="430"/>
      <c r="B6" s="430"/>
      <c r="C6" s="430"/>
      <c r="D6" s="430"/>
      <c r="E6" s="430"/>
      <c r="F6" s="430"/>
      <c r="G6" s="430"/>
    </row>
    <row r="7" spans="1:7" ht="20.25">
      <c r="A7" s="430"/>
      <c r="B7" s="430"/>
      <c r="C7" s="430"/>
      <c r="D7" s="430"/>
      <c r="E7" s="430"/>
      <c r="F7" s="430"/>
      <c r="G7" s="430"/>
    </row>
    <row r="8" spans="1:7" ht="18">
      <c r="A8" s="112"/>
      <c r="B8" s="112"/>
      <c r="C8" s="112"/>
      <c r="D8" s="112"/>
      <c r="E8" s="112"/>
      <c r="F8" s="112"/>
      <c r="G8" s="112"/>
    </row>
    <row r="9" spans="1:7" s="119" customFormat="1" ht="16.5">
      <c r="A9" s="115"/>
      <c r="B9" s="116"/>
      <c r="C9" s="115"/>
      <c r="D9" s="116"/>
      <c r="E9" s="117"/>
      <c r="F9" s="116"/>
      <c r="G9" s="118"/>
    </row>
    <row r="10" spans="1:7" s="119" customFormat="1" ht="16.5">
      <c r="A10" s="116"/>
      <c r="B10" s="116"/>
      <c r="C10" s="120"/>
      <c r="D10" s="116"/>
      <c r="E10" s="117"/>
      <c r="F10" s="116"/>
      <c r="G10" s="118"/>
    </row>
    <row r="11" spans="1:7" s="119" customFormat="1">
      <c r="A11" s="121"/>
      <c r="B11" s="122" t="s">
        <v>0</v>
      </c>
      <c r="C11" s="148" t="str">
        <f>'I) ZAJEDNIČKI RADOVI'!C2</f>
        <v>ZAJEDNIČKI RADOVI</v>
      </c>
      <c r="D11" s="123"/>
      <c r="E11" s="124"/>
      <c r="F11" s="123" t="s">
        <v>87</v>
      </c>
      <c r="G11" s="125">
        <f>'I) ZAJEDNIČKI RADOVI'!G157</f>
        <v>0</v>
      </c>
    </row>
    <row r="12" spans="1:7" s="119" customFormat="1">
      <c r="A12" s="121"/>
      <c r="B12" s="126"/>
      <c r="C12" s="127"/>
      <c r="D12" s="128"/>
      <c r="E12" s="129"/>
      <c r="F12" s="128"/>
      <c r="G12" s="130"/>
    </row>
    <row r="13" spans="1:7" s="119" customFormat="1">
      <c r="A13" s="121"/>
      <c r="B13" s="122" t="s">
        <v>72</v>
      </c>
      <c r="C13" s="148" t="str">
        <f>'II) VODOVOD'!C2</f>
        <v>VODOVOD</v>
      </c>
      <c r="D13" s="123"/>
      <c r="E13" s="124"/>
      <c r="F13" s="123" t="s">
        <v>87</v>
      </c>
      <c r="G13" s="125">
        <f>'II) VODOVOD'!G471</f>
        <v>0</v>
      </c>
    </row>
    <row r="14" spans="1:7" s="119" customFormat="1">
      <c r="A14" s="121"/>
      <c r="B14" s="126"/>
      <c r="C14" s="127"/>
      <c r="D14" s="128"/>
      <c r="E14" s="129"/>
      <c r="F14" s="128"/>
      <c r="G14" s="130"/>
    </row>
    <row r="15" spans="1:7" s="119" customFormat="1">
      <c r="A15" s="121"/>
      <c r="B15" s="122" t="s">
        <v>101</v>
      </c>
      <c r="C15" s="148" t="str">
        <f>'III) FEKALNA KANALIZACIJA'!C2</f>
        <v>FEKALNA KANALIZACIJA</v>
      </c>
      <c r="D15" s="123"/>
      <c r="E15" s="124"/>
      <c r="F15" s="123" t="s">
        <v>87</v>
      </c>
      <c r="G15" s="125">
        <f>'III) FEKALNA KANALIZACIJA'!G272</f>
        <v>0</v>
      </c>
    </row>
    <row r="16" spans="1:7" s="119" customFormat="1">
      <c r="A16" s="121"/>
      <c r="B16" s="126"/>
      <c r="C16" s="127"/>
      <c r="D16" s="128"/>
      <c r="E16" s="129"/>
      <c r="F16" s="128"/>
      <c r="G16" s="130"/>
    </row>
    <row r="17" spans="1:7" s="119" customFormat="1">
      <c r="A17" s="121"/>
      <c r="B17" s="122" t="s">
        <v>125</v>
      </c>
      <c r="C17" s="148" t="str">
        <f>'IV) OBORINSKA KANALIZACIJA'!C2</f>
        <v>OBORINSKA KANALIZACIJA</v>
      </c>
      <c r="D17" s="123"/>
      <c r="E17" s="124"/>
      <c r="F17" s="123" t="s">
        <v>87</v>
      </c>
      <c r="G17" s="125">
        <f>'IV) OBORINSKA KANALIZACIJA'!G236</f>
        <v>0</v>
      </c>
    </row>
    <row r="18" spans="1:7" s="119" customFormat="1">
      <c r="A18" s="121"/>
      <c r="B18" s="126"/>
      <c r="C18" s="127"/>
      <c r="D18" s="128"/>
      <c r="E18" s="129"/>
      <c r="F18" s="128"/>
      <c r="G18" s="130"/>
    </row>
    <row r="19" spans="1:7" s="119" customFormat="1">
      <c r="A19" s="121"/>
      <c r="B19" s="122" t="s">
        <v>183</v>
      </c>
      <c r="C19" s="148" t="str">
        <f>'V) NERAZVRSTANA CESTA'!C2</f>
        <v>NERAZVRSTANA CESTA</v>
      </c>
      <c r="D19" s="123"/>
      <c r="E19" s="124"/>
      <c r="F19" s="123" t="s">
        <v>87</v>
      </c>
      <c r="G19" s="125">
        <f>'V) NERAZVRSTANA CESTA'!G68</f>
        <v>0</v>
      </c>
    </row>
    <row r="20" spans="1:7" s="119" customFormat="1">
      <c r="A20" s="121"/>
      <c r="B20" s="122"/>
      <c r="C20" s="386"/>
      <c r="D20" s="128"/>
      <c r="E20" s="129"/>
      <c r="F20" s="128"/>
      <c r="G20" s="130"/>
    </row>
    <row r="21" spans="1:7" s="119" customFormat="1" ht="15.75" thickBot="1">
      <c r="A21" s="121"/>
      <c r="B21" s="121"/>
      <c r="C21" s="387"/>
      <c r="D21" s="388"/>
      <c r="E21" s="389"/>
      <c r="F21" s="388"/>
      <c r="G21" s="390"/>
    </row>
    <row r="22" spans="1:7" s="119" customFormat="1" ht="22.5" customHeight="1" thickTop="1">
      <c r="A22" s="131"/>
      <c r="B22" s="131"/>
      <c r="C22" s="132" t="s">
        <v>75</v>
      </c>
      <c r="D22" s="133"/>
      <c r="E22" s="134"/>
      <c r="F22" s="133" t="s">
        <v>87</v>
      </c>
      <c r="G22" s="135">
        <f>SUM(G11:G21)</f>
        <v>0</v>
      </c>
    </row>
    <row r="23" spans="1:7" s="119" customFormat="1" ht="15.75">
      <c r="A23" s="131"/>
      <c r="B23" s="121"/>
      <c r="C23" s="132"/>
      <c r="D23" s="133"/>
      <c r="E23" s="134"/>
      <c r="F23" s="133"/>
      <c r="G23" s="135"/>
    </row>
    <row r="24" spans="1:7" s="119" customFormat="1" ht="22.5" customHeight="1" thickBot="1">
      <c r="A24" s="131"/>
      <c r="B24" s="131"/>
      <c r="C24" s="136" t="s">
        <v>76</v>
      </c>
      <c r="D24" s="137"/>
      <c r="E24" s="138"/>
      <c r="F24" s="137" t="s">
        <v>87</v>
      </c>
      <c r="G24" s="139">
        <f>G22*0.25</f>
        <v>0</v>
      </c>
    </row>
    <row r="25" spans="1:7" s="119" customFormat="1" ht="15.75" thickTop="1">
      <c r="A25" s="131"/>
      <c r="B25" s="121"/>
      <c r="C25" s="140"/>
      <c r="D25" s="121"/>
      <c r="E25" s="141"/>
      <c r="F25" s="121"/>
      <c r="G25" s="142"/>
    </row>
    <row r="26" spans="1:7" s="119" customFormat="1" ht="22.5" customHeight="1">
      <c r="A26" s="131"/>
      <c r="B26" s="131"/>
      <c r="C26" s="143" t="s">
        <v>77</v>
      </c>
      <c r="D26" s="144"/>
      <c r="E26" s="145"/>
      <c r="F26" s="144" t="s">
        <v>87</v>
      </c>
      <c r="G26" s="146">
        <f>G22+G24</f>
        <v>0</v>
      </c>
    </row>
    <row r="27" spans="1:7" s="119" customFormat="1">
      <c r="A27" s="131"/>
      <c r="B27" s="121"/>
      <c r="C27" s="140"/>
      <c r="D27" s="121"/>
      <c r="E27" s="141"/>
      <c r="F27" s="121"/>
      <c r="G27" s="142"/>
    </row>
  </sheetData>
  <mergeCells count="1">
    <mergeCell ref="A5:G5"/>
  </mergeCells>
  <pageMargins left="0.70866141732283472" right="0.70866141732283472" top="0.74803149606299213" bottom="0.74803149606299213" header="0.31496062992125984" footer="0.31496062992125984"/>
  <pageSetup paperSize="9" scale="82" firstPageNumber="53" fitToHeight="0" orientation="portrait" useFirstPageNumber="1" r:id="rId1"/>
  <headerFooter>
    <oddHeader>&amp;L&amp;8FLUM-ING d.o.o.</oddHeader>
    <oddFooter>&amp;L&amp;8Vodovodni ogranak i kanalizacijska
mreža u Banjolu, Vatrogasni dom-Brni&amp;R&amp;8&amp;P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00-Naslov</vt:lpstr>
      <vt:lpstr>I) ZAJEDNIČKI RADOVI</vt:lpstr>
      <vt:lpstr>II) VODOVOD</vt:lpstr>
      <vt:lpstr>III) FEKALNA KANALIZACIJA</vt:lpstr>
      <vt:lpstr>IV) OBORINSKA KANALIZACIJA</vt:lpstr>
      <vt:lpstr>V) NERAZVRSTANA CESTA</vt:lpstr>
      <vt:lpstr>Rekapitulacija</vt:lpstr>
      <vt:lpstr>'00-Naslov'!Print_Area</vt:lpstr>
      <vt:lpstr>'I) ZAJEDNIČKI RADOVI'!Print_Area</vt:lpstr>
      <vt:lpstr>'II) VODOVOD'!Print_Area</vt:lpstr>
      <vt:lpstr>'III) FEKALNA KANALIZACIJA'!Print_Area</vt:lpstr>
      <vt:lpstr>'IV) OBORINSKA KANALIZACIJA'!Print_Area</vt:lpstr>
      <vt:lpstr>Rekapitulacija!Print_Area</vt:lpstr>
      <vt:lpstr>'V) NERAZVRSTANA CESTA'!Print_Area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dc:creator>
  <cp:lastModifiedBy>Sanjin</cp:lastModifiedBy>
  <cp:lastPrinted>2025-05-13T07:25:47Z</cp:lastPrinted>
  <dcterms:created xsi:type="dcterms:W3CDTF">2020-10-20T06:07:29Z</dcterms:created>
  <dcterms:modified xsi:type="dcterms:W3CDTF">2025-05-28T13:19:37Z</dcterms:modified>
</cp:coreProperties>
</file>